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5" windowWidth="12120" windowHeight="8685" tabRatio="598" activeTab="6"/>
  </bookViews>
  <sheets>
    <sheet name="Mérleg összevont" sheetId="1" r:id="rId1"/>
    <sheet name="Mérleg" sheetId="2" r:id="rId2"/>
    <sheet name="Kiadás" sheetId="3" r:id="rId3"/>
    <sheet name="Bevétel" sheetId="4" r:id="rId4"/>
    <sheet name="EU-s projektek" sheetId="5" r:id="rId5"/>
    <sheet name="Hitelteher" sheetId="6" r:id="rId6"/>
    <sheet name="Előirányzat" sheetId="7" r:id="rId7"/>
    <sheet name="Többéves" sheetId="8" r:id="rId8"/>
    <sheet name="Közvetett támogatás" sheetId="9" r:id="rId9"/>
    <sheet name="Létszám" sheetId="10" r:id="rId10"/>
    <sheet name="Adósságot keletkeztető ügylet" sheetId="11" r:id="rId11"/>
    <sheet name="Település" sheetId="12" r:id="rId12"/>
  </sheets>
  <externalReferences>
    <externalReference r:id="rId15"/>
  </externalReferences>
  <definedNames>
    <definedName name="_xlnm.Print_Area" localSheetId="0">'Mérleg összevont'!$A$1:$R$54</definedName>
  </definedNames>
  <calcPr fullCalcOnLoad="1"/>
</workbook>
</file>

<file path=xl/sharedStrings.xml><?xml version="1.0" encoding="utf-8"?>
<sst xmlns="http://schemas.openxmlformats.org/spreadsheetml/2006/main" count="497" uniqueCount="335">
  <si>
    <t>Társulás</t>
  </si>
  <si>
    <t>Céltartalék</t>
  </si>
  <si>
    <t>IV</t>
  </si>
  <si>
    <t>III</t>
  </si>
  <si>
    <t>VII</t>
  </si>
  <si>
    <t>Cím</t>
  </si>
  <si>
    <t>Alc</t>
  </si>
  <si>
    <t>Előir.</t>
  </si>
  <si>
    <t>Alc.</t>
  </si>
  <si>
    <t>Fedezete</t>
  </si>
  <si>
    <t>sz.</t>
  </si>
  <si>
    <t>csop.</t>
  </si>
  <si>
    <t>neve</t>
  </si>
  <si>
    <t>előirányzat csop neve</t>
  </si>
  <si>
    <t>Személyi juttatások</t>
  </si>
  <si>
    <t>Munkaadót terh.jár</t>
  </si>
  <si>
    <t>Dologi kiadás</t>
  </si>
  <si>
    <t>Felhalm.kiad.</t>
  </si>
  <si>
    <t>Összesen</t>
  </si>
  <si>
    <t>Saját bevétel</t>
  </si>
  <si>
    <t>II</t>
  </si>
  <si>
    <t>Város Gondozási Központ</t>
  </si>
  <si>
    <t>Nappali szoc.ellátás</t>
  </si>
  <si>
    <t>Szoc.étkeztetés</t>
  </si>
  <si>
    <t>Működési kiadások összesen</t>
  </si>
  <si>
    <t>Tartalékok összesen</t>
  </si>
  <si>
    <t>Összesen:</t>
  </si>
  <si>
    <t>összesen</t>
  </si>
  <si>
    <t>Támogató szolgálat</t>
  </si>
  <si>
    <t>Pályázati forrás</t>
  </si>
  <si>
    <t>Házisegítségnyújtás Sztg</t>
  </si>
  <si>
    <t>Települések</t>
  </si>
  <si>
    <t>Közösségi ellátás</t>
  </si>
  <si>
    <t>Játékvár Óvoda</t>
  </si>
  <si>
    <t>Jelzőrendszeres házi segítsny</t>
  </si>
  <si>
    <t>Házi segítségnyújtás települések</t>
  </si>
  <si>
    <t>igazgatás</t>
  </si>
  <si>
    <t>Szentgotthárdi Egyesített Óvodák és Bölcsóde</t>
  </si>
  <si>
    <t>Micimackó Óvoda Magyarlak</t>
  </si>
  <si>
    <t>Csillagvirág Óvoda Csörötnek</t>
  </si>
  <si>
    <t>Tótágas Bölcsőde</t>
  </si>
  <si>
    <t>Társszoc/műkáh.kív</t>
  </si>
  <si>
    <t>Iskola Sztg</t>
  </si>
  <si>
    <t>Óvoda R</t>
  </si>
  <si>
    <t>fogl.eü</t>
  </si>
  <si>
    <t>fogl.eü.</t>
  </si>
  <si>
    <t>Óvoda G</t>
  </si>
  <si>
    <t>Alsószölnök</t>
  </si>
  <si>
    <t>Felsőszölnök</t>
  </si>
  <si>
    <t>Szakonyfalu</t>
  </si>
  <si>
    <t xml:space="preserve">Magyarlak </t>
  </si>
  <si>
    <t>Csörötnek</t>
  </si>
  <si>
    <t>Apátistvánfalva</t>
  </si>
  <si>
    <t>Kétvölgy</t>
  </si>
  <si>
    <t>Orfalu</t>
  </si>
  <si>
    <t>Gasztony</t>
  </si>
  <si>
    <t>Rönök</t>
  </si>
  <si>
    <t>Vasszentmihály</t>
  </si>
  <si>
    <t>Nemesmedves</t>
  </si>
  <si>
    <t>Rátót</t>
  </si>
  <si>
    <t>Rábagyarmat</t>
  </si>
  <si>
    <t>Szentgotthárd</t>
  </si>
  <si>
    <t>foglalkozásegészségügy</t>
  </si>
  <si>
    <t>tagdíj 250Ft/fő</t>
  </si>
  <si>
    <t xml:space="preserve">belső ellenőrzés </t>
  </si>
  <si>
    <t>Kondorfa</t>
  </si>
  <si>
    <t>Családsegítő és Gyerekjóléti Központ</t>
  </si>
  <si>
    <t>Ft</t>
  </si>
  <si>
    <t xml:space="preserve">Felhalmozási </t>
  </si>
  <si>
    <t>Összes állami támogatás</t>
  </si>
  <si>
    <t>sorsz.</t>
  </si>
  <si>
    <t xml:space="preserve">Szentgotthárd  és Térsége Önkormányzati Társulás </t>
  </si>
  <si>
    <t xml:space="preserve">támogató </t>
  </si>
  <si>
    <t xml:space="preserve">közösségi </t>
  </si>
  <si>
    <t>Mindösszesen</t>
  </si>
  <si>
    <t>Szentgotthárd Város és Térsége Többcélú Kistéréségi Társulás</t>
  </si>
  <si>
    <t>1. számú melléklet</t>
  </si>
  <si>
    <t>BEVÉTELEK</t>
  </si>
  <si>
    <t>KIADÁSOK</t>
  </si>
  <si>
    <t>B</t>
  </si>
  <si>
    <t>Költségvetési bevételek</t>
  </si>
  <si>
    <t>Költségvetési kiadások</t>
  </si>
  <si>
    <t>I</t>
  </si>
  <si>
    <t>Működési bevételek</t>
  </si>
  <si>
    <t>Működési kiadások</t>
  </si>
  <si>
    <t>Sztg és Kistérsége Egy. Óv.és Bölcs.</t>
  </si>
  <si>
    <t>Családsegítő és Gyerekjóléti Szolgálat</t>
  </si>
  <si>
    <t>Felhalmozási kiadások</t>
  </si>
  <si>
    <t>Gond.Kp. Nappali</t>
  </si>
  <si>
    <t>3.5</t>
  </si>
  <si>
    <t>Normatív kötött felh.tám.</t>
  </si>
  <si>
    <t>MicimackóÓvoda</t>
  </si>
  <si>
    <t>Csillagvirág Óvoda</t>
  </si>
  <si>
    <t>Családsegítő</t>
  </si>
  <si>
    <t>Egyéb felhalmozási bevételek</t>
  </si>
  <si>
    <t>Költségvetési bevételek összesen</t>
  </si>
  <si>
    <t>C</t>
  </si>
  <si>
    <t>Pénzforgalom nélküli bevétel</t>
  </si>
  <si>
    <t>Pénzforgalom nélküli kiadás</t>
  </si>
  <si>
    <t>V</t>
  </si>
  <si>
    <t>Előző évek maradv.igénybevétele</t>
  </si>
  <si>
    <t>Egyéb pénzforgalom nélküli kiadás</t>
  </si>
  <si>
    <t>Működési célra</t>
  </si>
  <si>
    <t>Felhalmozási célra</t>
  </si>
  <si>
    <t>Bevételek főösszege</t>
  </si>
  <si>
    <t>Kiadások főösszege</t>
  </si>
  <si>
    <t>2.számú melléklet</t>
  </si>
  <si>
    <t>Támogatásértékű működési bevétel</t>
  </si>
  <si>
    <t>Előző évek mardv.igénybevétele</t>
  </si>
  <si>
    <t>Felhalmozási célú támogatások</t>
  </si>
  <si>
    <t>Többcélú kist.társ.költségv.tám.</t>
  </si>
  <si>
    <t>Központosított előirányzatokból</t>
  </si>
  <si>
    <t>Felhalm.célra</t>
  </si>
  <si>
    <t>Felhalmozási célú bevétel összesen</t>
  </si>
  <si>
    <t>Felhalmozási célú kiadás összesen</t>
  </si>
  <si>
    <t>,</t>
  </si>
  <si>
    <t>Alcím</t>
  </si>
  <si>
    <t>Előir.csop.neve</t>
  </si>
  <si>
    <t>száma</t>
  </si>
  <si>
    <t>csop</t>
  </si>
  <si>
    <t>Bevételek</t>
  </si>
  <si>
    <t xml:space="preserve"> </t>
  </si>
  <si>
    <t>Intézményi működési bevételek</t>
  </si>
  <si>
    <t xml:space="preserve">Házisegítségnyújtás </t>
  </si>
  <si>
    <t>Jelzőrendszeres házi seg.ny.</t>
  </si>
  <si>
    <t>Önk.Sztg peszk.átvétel</t>
  </si>
  <si>
    <t>Támogatásértékű felhalmozási bev.</t>
  </si>
  <si>
    <t>Felhalm.c.pesz.Sztg</t>
  </si>
  <si>
    <t>Átvett pénzeszköz</t>
  </si>
  <si>
    <t>Sor-sz.</t>
  </si>
  <si>
    <t>Megnevezés</t>
  </si>
  <si>
    <t>Bevétel</t>
  </si>
  <si>
    <t>Kiadás</t>
  </si>
  <si>
    <t>Támogatást biztosító megnevezése</t>
  </si>
  <si>
    <t>Támogatás összesen</t>
  </si>
  <si>
    <t>Előbbiből terv évi támogatás</t>
  </si>
  <si>
    <t>Terv évet megelőző kiadás</t>
  </si>
  <si>
    <t>Terv évben</t>
  </si>
  <si>
    <t>További években</t>
  </si>
  <si>
    <t>Összes kiadás</t>
  </si>
  <si>
    <t>I.</t>
  </si>
  <si>
    <t>Társuláson belül megvalósuló</t>
  </si>
  <si>
    <t>Szentgotthárd  és Térsége Önkormányzati Társulás</t>
  </si>
  <si>
    <t>Hitelteher bemutatása</t>
  </si>
  <si>
    <t>Törlesztett</t>
  </si>
  <si>
    <t xml:space="preserve">éve </t>
  </si>
  <si>
    <t>összege</t>
  </si>
  <si>
    <t>Hiteltörlesztés :</t>
  </si>
  <si>
    <t>Év végi záró hitel állomány :</t>
  </si>
  <si>
    <t>Hitelkamat teher  éves összege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</si>
  <si>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</si>
  <si>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</si>
  <si>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</si>
  <si>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</si>
  <si>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</si>
  <si>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</si>
  <si>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</si>
  <si>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</si>
  <si>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</si>
  <si>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</si>
  <si>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</si>
  <si>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</si>
  <si>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1.</t>
  </si>
  <si>
    <t>2.</t>
  </si>
  <si>
    <t>3.</t>
  </si>
  <si>
    <t>Hitel,kötvény</t>
  </si>
  <si>
    <t>Pénzmaradvány</t>
  </si>
  <si>
    <t>Bevételek összesen (1-4)</t>
  </si>
  <si>
    <t>Kiadások</t>
  </si>
  <si>
    <t>Felújítási kiadások</t>
  </si>
  <si>
    <t>Fejlesztési kiadások</t>
  </si>
  <si>
    <t xml:space="preserve">Tartalék felhasználása     </t>
  </si>
  <si>
    <t>Folyószámla hitel törl.</t>
  </si>
  <si>
    <t>Kiadások összesen (6-10)</t>
  </si>
  <si>
    <t>Egyenleg (havi záró pénzállomány</t>
  </si>
  <si>
    <t xml:space="preserve">Szentgotthárd  és Térsége Önkormányzati Társulás több éves kihatással járó felhalmozási és működési </t>
  </si>
  <si>
    <t>előirányzata éves bontásban</t>
  </si>
  <si>
    <t>Feladat</t>
  </si>
  <si>
    <t>Ebből</t>
  </si>
  <si>
    <t>4.</t>
  </si>
  <si>
    <t>5.</t>
  </si>
  <si>
    <t>6.</t>
  </si>
  <si>
    <t>7.</t>
  </si>
  <si>
    <t>8.</t>
  </si>
  <si>
    <t>9.</t>
  </si>
  <si>
    <t xml:space="preserve"> Beruházási kiadások</t>
  </si>
  <si>
    <t>Sor- sz.</t>
  </si>
  <si>
    <t>Jogcím</t>
  </si>
  <si>
    <t>A támogatás kedvezményezettje (csoportonként)</t>
  </si>
  <si>
    <t>Adóelengedés</t>
  </si>
  <si>
    <t>Adókedvezmény</t>
  </si>
  <si>
    <t>Egyéb</t>
  </si>
  <si>
    <t>jogcíme (jellege)</t>
  </si>
  <si>
    <t>mértéke %</t>
  </si>
  <si>
    <t>sávos %</t>
  </si>
  <si>
    <t>Ellátottak térítési díjának, ill. kártérítésének méltányossági alapon történő elengedése</t>
  </si>
  <si>
    <t>Lakosság részére lakásépítéshez, lakásfelújytáshoz nyújtott kölcsönök elengedése</t>
  </si>
  <si>
    <t xml:space="preserve">Helyiségek, eszközök hasznosításából származó bevételből nyújtott kedvezmény, mentesség </t>
  </si>
  <si>
    <t>Egyéb nyújtott kedvezmény vagy kölcsön elengedése.</t>
  </si>
  <si>
    <t>Teljes munkaidőre átszámított létszám</t>
  </si>
  <si>
    <t>Sorsz</t>
  </si>
  <si>
    <t>Intézmény és szakfeladat megnevezése</t>
  </si>
  <si>
    <t>Teljes</t>
  </si>
  <si>
    <t>rész</t>
  </si>
  <si>
    <t>megbíz.</t>
  </si>
  <si>
    <t>munkaidőben</t>
  </si>
  <si>
    <t>jogvisz-ban</t>
  </si>
  <si>
    <t>jóváhagy</t>
  </si>
  <si>
    <t>foglalkoztatott</t>
  </si>
  <si>
    <t>foglalk.</t>
  </si>
  <si>
    <t>létsz.össz</t>
  </si>
  <si>
    <t>Szentgotthárd és Kistérsége Egyesített Óvodák és Bölcsőde</t>
  </si>
  <si>
    <t>ebből pedagógus</t>
  </si>
  <si>
    <t>Micimackó Tagóvoda Magyarlak</t>
  </si>
  <si>
    <t>Csillagvirág Tagóvoda Csörötnek</t>
  </si>
  <si>
    <t>ebből szakalkalmazott</t>
  </si>
  <si>
    <t xml:space="preserve">   </t>
  </si>
  <si>
    <t>Városi Gondozási Központ</t>
  </si>
  <si>
    <t>Nappali ellátás</t>
  </si>
  <si>
    <t>Szociális étkeztetés</t>
  </si>
  <si>
    <t>Házi segítségnyújtás</t>
  </si>
  <si>
    <t>Jelzőrendszeres házi segítsségnyújtás</t>
  </si>
  <si>
    <t>Létszám összesen:</t>
  </si>
  <si>
    <t>Szentgotthárd és Térsége Önkormányzati Társulás</t>
  </si>
  <si>
    <t>MEGNEVEZÉS</t>
  </si>
  <si>
    <t>Sorszám</t>
  </si>
  <si>
    <t>Saját bevétel és adósságot keletkeztető ügyletből eredő fizetési kötelezettség összegei</t>
  </si>
  <si>
    <t>ÖSSZESEN 7=(3+4+5+6)</t>
  </si>
  <si>
    <t>Helyi adók</t>
  </si>
  <si>
    <t>Önkormányzati vagyon és vagyoni értékű jog értékesítése</t>
  </si>
  <si>
    <t>Osztalék, koncessziós díjak</t>
  </si>
  <si>
    <t>Bírság-, pótlék- és díjbevételek</t>
  </si>
  <si>
    <t>Tárgyi eszközök. Immateriális javak értékesítéséből származó bevétel</t>
  </si>
  <si>
    <t>Részvények, részesedések értékesítése</t>
  </si>
  <si>
    <t>Vállalat értékesítésből, privatizációból származó bevételek</t>
  </si>
  <si>
    <t xml:space="preserve">Kezességvállalással kapcsolatos megtérülés </t>
  </si>
  <si>
    <t>Saját bevételek (01+…+07)</t>
  </si>
  <si>
    <t>Saját bevételek (08.sor) 50%-a</t>
  </si>
  <si>
    <t>Előző években keletkeztetett tárgyévi fizetési kötelezettség (11+…+17)</t>
  </si>
  <si>
    <t>Felvett, átvállalt hitel és annak tőketartozása</t>
  </si>
  <si>
    <t>Felvett, átvállalt kölcsön és annak tőketartozása</t>
  </si>
  <si>
    <t>Hitelviszony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</si>
  <si>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</si>
  <si>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</si>
  <si>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</si>
  <si>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</si>
  <si>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</si>
  <si>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Fizetési kötelezettség (10+18)</t>
  </si>
  <si>
    <t>Fizetési kötelezettséggel csökkentett saját bevétel (09-26)</t>
  </si>
  <si>
    <t>Működési célú támogatások áhn.belül</t>
  </si>
  <si>
    <t>Szentgotthárd állami normatíva</t>
  </si>
  <si>
    <t>Helyi önkormányzatok és ktgvi szerveik</t>
  </si>
  <si>
    <t>Egyéb fejezeti kezelésű ei</t>
  </si>
  <si>
    <t>1</t>
  </si>
  <si>
    <t>Ebből: Játékvár Óvoda</t>
  </si>
  <si>
    <t xml:space="preserve">           Micimackó Óvoda Magyarlak</t>
  </si>
  <si>
    <t xml:space="preserve">           Csillagvirág Óvoda Csörötnek</t>
  </si>
  <si>
    <t xml:space="preserve">           Tótágas Bölcsőde</t>
  </si>
  <si>
    <t>Műk.c.átadott peszk</t>
  </si>
  <si>
    <t>Műk.célú kiadás áhn.belül</t>
  </si>
  <si>
    <t>működési, felhalmozási célú bevételekre, kiadásokra</t>
  </si>
  <si>
    <t xml:space="preserve">B </t>
  </si>
  <si>
    <t>Működési célú bevételek összesen</t>
  </si>
  <si>
    <t>Működési célú kiadások összesen</t>
  </si>
  <si>
    <t>Beruházási kiadások</t>
  </si>
  <si>
    <t>Egyéb felhalmozási célú kiadások</t>
  </si>
  <si>
    <t>Munkaadót terhelő járulék</t>
  </si>
  <si>
    <t>Dologi kiadások</t>
  </si>
  <si>
    <t>Egyéb működési célú kiadások</t>
  </si>
  <si>
    <t xml:space="preserve">           Államháztartáson belülre</t>
  </si>
  <si>
    <t xml:space="preserve">           Államháztartáson kivülre</t>
  </si>
  <si>
    <t>Felhalmozási célú támogatások áhn.belül</t>
  </si>
  <si>
    <t>Finanszírozási bevételek összesen</t>
  </si>
  <si>
    <t>Finanszírozási kiadások összesen</t>
  </si>
  <si>
    <t xml:space="preserve">        Működési célra</t>
  </si>
  <si>
    <t xml:space="preserve">        Felhalmozási célra</t>
  </si>
  <si>
    <t>4. számú melléklet</t>
  </si>
  <si>
    <t>Önk.Község.peszk.átvétel</t>
  </si>
  <si>
    <t>Önk.Sztg peszk.átvétel normatíva</t>
  </si>
  <si>
    <t>Műk.peszk.átv.egyéb fejezettől</t>
  </si>
  <si>
    <t>Felhalm.c.peszk Község önk.</t>
  </si>
  <si>
    <t>Felhalm.c.peszk.átvét egyéb fejezettől</t>
  </si>
  <si>
    <t>Működési pénzeszkö átvét.</t>
  </si>
  <si>
    <t>5. számú melléklet</t>
  </si>
  <si>
    <t>adatok Ft-ban</t>
  </si>
  <si>
    <t>6. számú melléklet</t>
  </si>
  <si>
    <t>Felvétel</t>
  </si>
  <si>
    <t>Törlesztés</t>
  </si>
  <si>
    <t>7. számú melléklet</t>
  </si>
  <si>
    <r>
      <t xml:space="preserve"> </t>
    </r>
    <r>
      <rPr>
        <b/>
        <sz val="12"/>
        <rFont val="Calibri"/>
        <family val="2"/>
      </rPr>
      <t>Működési kiadások</t>
    </r>
  </si>
  <si>
    <t>8. számú melléklet</t>
  </si>
  <si>
    <t>összege Ft</t>
  </si>
  <si>
    <t>összege  Ft</t>
  </si>
  <si>
    <t>9. számú melléklet</t>
  </si>
  <si>
    <t>Szentgotthárdi Többcélú kistérségi intézményei</t>
  </si>
  <si>
    <t>10. számú melléklet</t>
  </si>
  <si>
    <t>2021.évi költségvetés</t>
  </si>
  <si>
    <t>2021. évi működési és felhalmozási kiadások előirányzata</t>
  </si>
  <si>
    <t>Állami tám Sztg</t>
  </si>
  <si>
    <t>Állami tám Telep.</t>
  </si>
  <si>
    <t xml:space="preserve">Átvett peszk </t>
  </si>
  <si>
    <t>2020.évi Maradvány Intézmény</t>
  </si>
  <si>
    <t>2020.évi Maradvány Társulás</t>
  </si>
  <si>
    <t>Hozzájárulás Szentgotthárd</t>
  </si>
  <si>
    <t>Hozzájárulás Települések</t>
  </si>
  <si>
    <t>Motivage pályázat</t>
  </si>
  <si>
    <t>Összktgvetés</t>
  </si>
  <si>
    <t>2021.évi Költségvetés</t>
  </si>
  <si>
    <t>Települési hozzájárulás</t>
  </si>
  <si>
    <t>lakosság-szám</t>
  </si>
  <si>
    <t>kistérségi tagdíj 250 Ft/fő</t>
  </si>
  <si>
    <t>közös fel.belső ellenőrzés</t>
  </si>
  <si>
    <t>családsegítő</t>
  </si>
  <si>
    <t>Óvoda Magyarlak</t>
  </si>
  <si>
    <t>Házi segítség-nyújtás</t>
  </si>
  <si>
    <t>Jelzőrendsz.házi s.</t>
  </si>
  <si>
    <t>2020.évi Maradvány</t>
  </si>
  <si>
    <t>Magyarlak</t>
  </si>
  <si>
    <t>Összlétszám</t>
  </si>
  <si>
    <t>3. számú melléklet</t>
  </si>
  <si>
    <t>Szentgotthárd  és Térsége Önkormányzati Társulás 2021. évi közvetett támogatásai</t>
  </si>
  <si>
    <t>2021.év</t>
  </si>
  <si>
    <t>2021.évben fieztendő hozzájáurlás - Egyenleg</t>
  </si>
  <si>
    <t>2021.évre számított hozzájárulás összesen</t>
  </si>
  <si>
    <t>Városi Gondozási Központ - MOTIVAGE pályázat</t>
  </si>
  <si>
    <t>2021. évi előirányzat felhasználási ütemterv</t>
  </si>
  <si>
    <t>SIHU</t>
  </si>
  <si>
    <t>2021. évi bevételi előirányzat</t>
  </si>
  <si>
    <t>Működési maradvány</t>
  </si>
  <si>
    <t>Felhalmozási maradvány</t>
  </si>
  <si>
    <t>2021. évi költségvetésének összevont mérlege</t>
  </si>
  <si>
    <t>2021. évi összevont mérleg megbontása</t>
  </si>
  <si>
    <t>Szentgotthárd  és Térsége Önkormányzati Társulás 2021. évi Európai Uniós projektjei</t>
  </si>
  <si>
    <t>Felhalmozási tartalék</t>
  </si>
  <si>
    <t>támogató - busz pályázathoz önerő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</si>
</sst>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#,##0.0"/>
    <numFmt numFmtId="167" formatCode="[$-40E]yyyy\.\ mmmm\ d\."/>
    <numFmt numFmtId="168" formatCode="yy/mm/dd"/>
    <numFmt numFmtId="169" formatCode="#,##0;\-#,##0"/>
    <numFmt numFmtId="170" formatCode="#,##0.0_ ;\-#,##0.0\ "/>
    <numFmt numFmtId="171" formatCode="#,##0.000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;\-#,##0.0"/>
    <numFmt numFmtId="177" formatCode="#,##0.0000"/>
    <numFmt numFmtId="178" formatCode="0.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#,##0\ _F_t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D8D8D8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 wrapText="1"/>
    </xf>
    <xf numFmtId="9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3" fontId="6" fillId="0" borderId="3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2" xfId="0" applyFont="1" applyBorder="1" applyAlignment="1">
      <alignment/>
    </xf>
    <xf numFmtId="3" fontId="6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32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5" fillId="0" borderId="21" xfId="0" applyFont="1" applyFill="1" applyBorder="1" applyAlignment="1">
      <alignment/>
    </xf>
    <xf numFmtId="3" fontId="6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36" xfId="0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49" fontId="5" fillId="0" borderId="32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6" fillId="0" borderId="31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6" fillId="0" borderId="35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164" fontId="6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164" fontId="5" fillId="0" borderId="24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7" fillId="0" borderId="0" xfId="0" applyNumberFormat="1" applyFont="1" applyFill="1" applyAlignment="1">
      <alignment horizontal="right"/>
    </xf>
    <xf numFmtId="3" fontId="5" fillId="0" borderId="45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50" xfId="0" applyFont="1" applyBorder="1" applyAlignment="1">
      <alignment/>
    </xf>
    <xf numFmtId="3" fontId="6" fillId="0" borderId="55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" fontId="5" fillId="0" borderId="10" xfId="4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8" xfId="0" applyFont="1" applyBorder="1" applyAlignment="1">
      <alignment/>
    </xf>
    <xf numFmtId="3" fontId="5" fillId="0" borderId="38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52" xfId="0" applyFont="1" applyBorder="1" applyAlignment="1">
      <alignment/>
    </xf>
    <xf numFmtId="3" fontId="6" fillId="0" borderId="4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4" xfId="0" applyFont="1" applyFill="1" applyBorder="1" applyAlignment="1">
      <alignment/>
    </xf>
    <xf numFmtId="3" fontId="6" fillId="0" borderId="54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56" xfId="0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56" xfId="0" applyNumberFormat="1" applyFont="1" applyBorder="1" applyAlignment="1">
      <alignment horizontal="right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6" fillId="0" borderId="35" xfId="0" applyFont="1" applyBorder="1" applyAlignment="1">
      <alignment/>
    </xf>
    <xf numFmtId="3" fontId="6" fillId="0" borderId="62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5" xfId="0" applyFont="1" applyBorder="1" applyAlignment="1">
      <alignment/>
    </xf>
    <xf numFmtId="3" fontId="5" fillId="0" borderId="62" xfId="0" applyNumberFormat="1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3" xfId="0" applyFont="1" applyBorder="1" applyAlignment="1">
      <alignment horizontal="left"/>
    </xf>
    <xf numFmtId="0" fontId="6" fillId="0" borderId="63" xfId="0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66" xfId="0" applyFont="1" applyBorder="1" applyAlignment="1">
      <alignment/>
    </xf>
    <xf numFmtId="0" fontId="30" fillId="0" borderId="67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31" fillId="0" borderId="69" xfId="0" applyFont="1" applyBorder="1" applyAlignment="1">
      <alignment/>
    </xf>
    <xf numFmtId="0" fontId="30" fillId="0" borderId="70" xfId="0" applyFont="1" applyBorder="1" applyAlignment="1">
      <alignment/>
    </xf>
    <xf numFmtId="0" fontId="30" fillId="0" borderId="71" xfId="0" applyFont="1" applyBorder="1" applyAlignment="1">
      <alignment/>
    </xf>
    <xf numFmtId="3" fontId="30" fillId="0" borderId="72" xfId="0" applyNumberFormat="1" applyFont="1" applyBorder="1" applyAlignment="1">
      <alignment horizontal="right"/>
    </xf>
    <xf numFmtId="3" fontId="30" fillId="0" borderId="72" xfId="0" applyNumberFormat="1" applyFont="1" applyBorder="1" applyAlignment="1">
      <alignment horizontal="center"/>
    </xf>
    <xf numFmtId="0" fontId="30" fillId="0" borderId="72" xfId="0" applyFont="1" applyBorder="1" applyAlignment="1">
      <alignment horizontal="right"/>
    </xf>
    <xf numFmtId="169" fontId="30" fillId="0" borderId="72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166" fontId="30" fillId="0" borderId="72" xfId="0" applyNumberFormat="1" applyFont="1" applyBorder="1" applyAlignment="1">
      <alignment horizontal="right"/>
    </xf>
    <xf numFmtId="0" fontId="30" fillId="0" borderId="69" xfId="0" applyFont="1" applyBorder="1" applyAlignment="1">
      <alignment vertical="center"/>
    </xf>
    <xf numFmtId="0" fontId="30" fillId="0" borderId="70" xfId="0" applyFont="1" applyBorder="1" applyAlignment="1">
      <alignment vertical="center"/>
    </xf>
    <xf numFmtId="3" fontId="30" fillId="0" borderId="71" xfId="0" applyNumberFormat="1" applyFont="1" applyBorder="1" applyAlignment="1">
      <alignment horizontal="right" vertical="center"/>
    </xf>
    <xf numFmtId="3" fontId="30" fillId="0" borderId="71" xfId="0" applyNumberFormat="1" applyFont="1" applyBorder="1" applyAlignment="1">
      <alignment horizontal="center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0" fillId="0" borderId="73" xfId="0" applyNumberFormat="1" applyFont="1" applyBorder="1" applyAlignment="1">
      <alignment horizontal="right" vertical="center"/>
    </xf>
    <xf numFmtId="0" fontId="31" fillId="0" borderId="73" xfId="0" applyFont="1" applyBorder="1" applyAlignment="1">
      <alignment/>
    </xf>
    <xf numFmtId="0" fontId="30" fillId="0" borderId="74" xfId="0" applyFont="1" applyBorder="1" applyAlignment="1">
      <alignment/>
    </xf>
    <xf numFmtId="3" fontId="30" fillId="0" borderId="75" xfId="0" applyNumberFormat="1" applyFont="1" applyBorder="1" applyAlignment="1">
      <alignment horizontal="center"/>
    </xf>
    <xf numFmtId="3" fontId="30" fillId="0" borderId="75" xfId="0" applyNumberFormat="1" applyFont="1" applyBorder="1" applyAlignment="1">
      <alignment horizontal="right"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3" fontId="6" fillId="0" borderId="78" xfId="0" applyNumberFormat="1" applyFont="1" applyBorder="1" applyAlignment="1">
      <alignment/>
    </xf>
    <xf numFmtId="0" fontId="6" fillId="0" borderId="79" xfId="0" applyFont="1" applyBorder="1" applyAlignment="1">
      <alignment/>
    </xf>
    <xf numFmtId="3" fontId="6" fillId="0" borderId="79" xfId="0" applyNumberFormat="1" applyFont="1" applyBorder="1" applyAlignment="1">
      <alignment/>
    </xf>
    <xf numFmtId="0" fontId="6" fillId="0" borderId="80" xfId="0" applyFont="1" applyBorder="1" applyAlignment="1">
      <alignment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3" fontId="5" fillId="0" borderId="78" xfId="0" applyNumberFormat="1" applyFont="1" applyBorder="1" applyAlignment="1">
      <alignment/>
    </xf>
    <xf numFmtId="0" fontId="5" fillId="0" borderId="77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4" xfId="0" applyFont="1" applyBorder="1" applyAlignment="1">
      <alignment/>
    </xf>
    <xf numFmtId="0" fontId="6" fillId="0" borderId="85" xfId="0" applyFont="1" applyBorder="1" applyAlignment="1">
      <alignment/>
    </xf>
    <xf numFmtId="3" fontId="6" fillId="0" borderId="85" xfId="0" applyNumberFormat="1" applyFont="1" applyBorder="1" applyAlignment="1">
      <alignment/>
    </xf>
    <xf numFmtId="0" fontId="6" fillId="0" borderId="86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65" xfId="0" applyFont="1" applyBorder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87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49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8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92" xfId="0" applyFont="1" applyBorder="1" applyAlignment="1">
      <alignment/>
    </xf>
    <xf numFmtId="0" fontId="6" fillId="0" borderId="93" xfId="0" applyFont="1" applyBorder="1" applyAlignment="1">
      <alignment/>
    </xf>
    <xf numFmtId="0" fontId="7" fillId="0" borderId="94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95" xfId="0" applyFont="1" applyBorder="1" applyAlignment="1">
      <alignment/>
    </xf>
    <xf numFmtId="0" fontId="7" fillId="0" borderId="96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88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81" xfId="0" applyFont="1" applyBorder="1" applyAlignment="1">
      <alignment/>
    </xf>
    <xf numFmtId="0" fontId="6" fillId="0" borderId="82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83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6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66" fontId="7" fillId="0" borderId="51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0" fontId="7" fillId="0" borderId="51" xfId="0" applyFont="1" applyFill="1" applyBorder="1" applyAlignment="1">
      <alignment/>
    </xf>
    <xf numFmtId="3" fontId="7" fillId="0" borderId="97" xfId="0" applyNumberFormat="1" applyFont="1" applyFill="1" applyBorder="1" applyAlignment="1">
      <alignment/>
    </xf>
    <xf numFmtId="166" fontId="7" fillId="0" borderId="54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3" fontId="7" fillId="0" borderId="54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3" fontId="7" fillId="0" borderId="98" xfId="0" applyNumberFormat="1" applyFont="1" applyFill="1" applyBorder="1" applyAlignment="1">
      <alignment/>
    </xf>
    <xf numFmtId="0" fontId="5" fillId="0" borderId="99" xfId="0" applyFont="1" applyFill="1" applyBorder="1" applyAlignment="1">
      <alignment/>
    </xf>
    <xf numFmtId="0" fontId="5" fillId="0" borderId="100" xfId="0" applyFont="1" applyFill="1" applyBorder="1" applyAlignment="1">
      <alignment/>
    </xf>
    <xf numFmtId="0" fontId="6" fillId="0" borderId="101" xfId="0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166" fontId="6" fillId="0" borderId="30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5" fillId="33" borderId="101" xfId="0" applyNumberFormat="1" applyFont="1" applyFill="1" applyBorder="1" applyAlignment="1">
      <alignment/>
    </xf>
    <xf numFmtId="3" fontId="6" fillId="0" borderId="99" xfId="0" applyNumberFormat="1" applyFont="1" applyBorder="1" applyAlignment="1">
      <alignment/>
    </xf>
    <xf numFmtId="3" fontId="5" fillId="34" borderId="101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6" fillId="0" borderId="102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3" xfId="0" applyNumberFormat="1" applyFont="1" applyFill="1" applyBorder="1" applyAlignment="1">
      <alignment/>
    </xf>
    <xf numFmtId="3" fontId="6" fillId="0" borderId="52" xfId="0" applyNumberFormat="1" applyFont="1" applyBorder="1" applyAlignment="1">
      <alignment/>
    </xf>
    <xf numFmtId="3" fontId="5" fillId="34" borderId="102" xfId="0" applyNumberFormat="1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6" fillId="0" borderId="104" xfId="0" applyFont="1" applyFill="1" applyBorder="1" applyAlignment="1">
      <alignment horizontal="center"/>
    </xf>
    <xf numFmtId="3" fontId="6" fillId="0" borderId="105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166" fontId="6" fillId="0" borderId="54" xfId="0" applyNumberFormat="1" applyFont="1" applyFill="1" applyBorder="1" applyAlignment="1">
      <alignment/>
    </xf>
    <xf numFmtId="0" fontId="6" fillId="0" borderId="54" xfId="0" applyFont="1" applyFill="1" applyBorder="1" applyAlignment="1">
      <alignment/>
    </xf>
    <xf numFmtId="3" fontId="6" fillId="0" borderId="98" xfId="0" applyNumberFormat="1" applyFont="1" applyFill="1" applyBorder="1" applyAlignment="1">
      <alignment/>
    </xf>
    <xf numFmtId="3" fontId="5" fillId="33" borderId="104" xfId="0" applyNumberFormat="1" applyFont="1" applyFill="1" applyBorder="1" applyAlignment="1">
      <alignment/>
    </xf>
    <xf numFmtId="3" fontId="6" fillId="0" borderId="53" xfId="0" applyNumberFormat="1" applyFont="1" applyBorder="1" applyAlignment="1">
      <alignment/>
    </xf>
    <xf numFmtId="3" fontId="5" fillId="34" borderId="104" xfId="0" applyNumberFormat="1" applyFont="1" applyFill="1" applyBorder="1" applyAlignment="1">
      <alignment/>
    </xf>
    <xf numFmtId="3" fontId="5" fillId="0" borderId="101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166" fontId="5" fillId="0" borderId="3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35" borderId="101" xfId="0" applyNumberFormat="1" applyFont="1" applyFill="1" applyBorder="1" applyAlignment="1">
      <alignment/>
    </xf>
    <xf numFmtId="3" fontId="5" fillId="0" borderId="10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3" xfId="0" applyNumberFormat="1" applyFont="1" applyFill="1" applyBorder="1" applyAlignment="1">
      <alignment/>
    </xf>
    <xf numFmtId="3" fontId="5" fillId="0" borderId="52" xfId="0" applyNumberFormat="1" applyFont="1" applyBorder="1" applyAlignment="1">
      <alignment/>
    </xf>
    <xf numFmtId="0" fontId="5" fillId="36" borderId="53" xfId="0" applyFont="1" applyFill="1" applyBorder="1" applyAlignment="1">
      <alignment/>
    </xf>
    <xf numFmtId="0" fontId="5" fillId="36" borderId="46" xfId="0" applyFont="1" applyFill="1" applyBorder="1" applyAlignment="1">
      <alignment/>
    </xf>
    <xf numFmtId="3" fontId="5" fillId="36" borderId="104" xfId="0" applyNumberFormat="1" applyFont="1" applyFill="1" applyBorder="1" applyAlignment="1">
      <alignment horizontal="center"/>
    </xf>
    <xf numFmtId="3" fontId="5" fillId="36" borderId="105" xfId="0" applyNumberFormat="1" applyFont="1" applyFill="1" applyBorder="1" applyAlignment="1">
      <alignment/>
    </xf>
    <xf numFmtId="3" fontId="5" fillId="36" borderId="54" xfId="0" applyNumberFormat="1" applyFont="1" applyFill="1" applyBorder="1" applyAlignment="1">
      <alignment/>
    </xf>
    <xf numFmtId="3" fontId="5" fillId="36" borderId="98" xfId="0" applyNumberFormat="1" applyFont="1" applyFill="1" applyBorder="1" applyAlignment="1">
      <alignment/>
    </xf>
    <xf numFmtId="3" fontId="5" fillId="36" borderId="104" xfId="0" applyNumberFormat="1" applyFont="1" applyFill="1" applyBorder="1" applyAlignment="1">
      <alignment/>
    </xf>
    <xf numFmtId="3" fontId="6" fillId="34" borderId="104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166" fontId="52" fillId="0" borderId="0" xfId="0" applyNumberFormat="1" applyFont="1" applyBorder="1" applyAlignment="1">
      <alignment/>
    </xf>
    <xf numFmtId="0" fontId="5" fillId="0" borderId="106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164" fontId="5" fillId="0" borderId="10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 wrapText="1"/>
    </xf>
    <xf numFmtId="183" fontId="5" fillId="0" borderId="46" xfId="0" applyNumberFormat="1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183" fontId="6" fillId="0" borderId="100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03" xfId="0" applyNumberFormat="1" applyFont="1" applyFill="1" applyBorder="1" applyAlignment="1">
      <alignment/>
    </xf>
    <xf numFmtId="164" fontId="5" fillId="0" borderId="5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183" fontId="5" fillId="0" borderId="49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03" xfId="0" applyNumberFormat="1" applyFont="1" applyFill="1" applyBorder="1" applyAlignment="1">
      <alignment/>
    </xf>
    <xf numFmtId="164" fontId="6" fillId="0" borderId="5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83" fontId="6" fillId="0" borderId="49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6" fillId="0" borderId="90" xfId="0" applyFont="1" applyFill="1" applyBorder="1" applyAlignment="1">
      <alignment/>
    </xf>
    <xf numFmtId="0" fontId="6" fillId="0" borderId="85" xfId="0" applyFont="1" applyFill="1" applyBorder="1" applyAlignment="1">
      <alignment/>
    </xf>
    <xf numFmtId="164" fontId="6" fillId="0" borderId="85" xfId="0" applyNumberFormat="1" applyFont="1" applyFill="1" applyBorder="1" applyAlignment="1">
      <alignment/>
    </xf>
    <xf numFmtId="164" fontId="6" fillId="0" borderId="90" xfId="0" applyNumberFormat="1" applyFont="1" applyFill="1" applyBorder="1" applyAlignment="1">
      <alignment/>
    </xf>
    <xf numFmtId="3" fontId="6" fillId="0" borderId="107" xfId="0" applyNumberFormat="1" applyFont="1" applyFill="1" applyBorder="1" applyAlignment="1">
      <alignment/>
    </xf>
    <xf numFmtId="3" fontId="6" fillId="0" borderId="85" xfId="0" applyNumberFormat="1" applyFont="1" applyFill="1" applyBorder="1" applyAlignment="1">
      <alignment/>
    </xf>
    <xf numFmtId="183" fontId="5" fillId="0" borderId="48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3" fontId="6" fillId="0" borderId="10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90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183" fontId="5" fillId="0" borderId="9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8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108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109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6" fillId="0" borderId="58" xfId="0" applyFont="1" applyBorder="1" applyAlignment="1">
      <alignment/>
    </xf>
    <xf numFmtId="0" fontId="52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8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11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11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3" fontId="6" fillId="0" borderId="113" xfId="0" applyNumberFormat="1" applyFont="1" applyBorder="1" applyAlignment="1">
      <alignment horizontal="center" vertical="center"/>
    </xf>
    <xf numFmtId="3" fontId="6" fillId="0" borderId="114" xfId="0" applyNumberFormat="1" applyFont="1" applyBorder="1" applyAlignment="1">
      <alignment horizontal="center" vertical="center"/>
    </xf>
    <xf numFmtId="3" fontId="6" fillId="0" borderId="116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30" fillId="0" borderId="117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118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0" fillId="0" borderId="69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119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/>
    </xf>
    <xf numFmtId="0" fontId="30" fillId="0" borderId="121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119" xfId="0" applyFont="1" applyBorder="1" applyAlignment="1">
      <alignment horizontal="center" vertical="center"/>
    </xf>
    <xf numFmtId="0" fontId="5" fillId="0" borderId="12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85" xfId="0" applyNumberFormat="1" applyFont="1" applyBorder="1" applyAlignment="1">
      <alignment horizontal="center" vertical="center" wrapText="1"/>
    </xf>
    <xf numFmtId="0" fontId="0" fillId="0" borderId="127" xfId="0" applyBorder="1" applyAlignment="1">
      <alignment horizontal="center"/>
    </xf>
    <xf numFmtId="0" fontId="0" fillId="0" borderId="18" xfId="0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86" xfId="0" applyNumberFormat="1" applyFont="1" applyBorder="1" applyAlignment="1">
      <alignment horizontal="center" vertical="center"/>
    </xf>
    <xf numFmtId="0" fontId="0" fillId="0" borderId="10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3" fontId="7" fillId="33" borderId="130" xfId="0" applyNumberFormat="1" applyFont="1" applyFill="1" applyBorder="1" applyAlignment="1">
      <alignment horizontal="center" vertical="center" wrapText="1"/>
    </xf>
    <xf numFmtId="3" fontId="7" fillId="33" borderId="132" xfId="0" applyNumberFormat="1" applyFont="1" applyFill="1" applyBorder="1" applyAlignment="1">
      <alignment horizontal="center" vertical="center" wrapText="1"/>
    </xf>
    <xf numFmtId="0" fontId="7" fillId="34" borderId="130" xfId="0" applyFont="1" applyFill="1" applyBorder="1" applyAlignment="1">
      <alignment horizontal="center" vertical="center" wrapText="1"/>
    </xf>
    <xf numFmtId="0" fontId="7" fillId="34" borderId="132" xfId="0" applyFont="1" applyFill="1" applyBorder="1" applyAlignment="1">
      <alignment horizontal="center" vertical="center" wrapText="1"/>
    </xf>
    <xf numFmtId="0" fontId="7" fillId="0" borderId="130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13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3" fontId="7" fillId="0" borderId="134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DZS\Desktop\KTGVET&#201;S%202021\Kist&#233;rs&#233;g\2021.K&#246;lts&#233;gvet&#233;s\K&#246;lts&#233;gvet&#233;si%20202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-bevétel"/>
      <sheetName val="Település"/>
      <sheetName val="Kiadás-bevétel mardvány nélkül"/>
      <sheetName val="Település elszámolás alp."/>
    </sheetNames>
    <sheetDataSet>
      <sheetData sheetId="1">
        <row r="11">
          <cell r="J11">
            <v>6996181</v>
          </cell>
        </row>
        <row r="22">
          <cell r="D22">
            <v>1567250</v>
          </cell>
          <cell r="E22">
            <v>297000</v>
          </cell>
          <cell r="F22">
            <v>2789000.0000000005</v>
          </cell>
          <cell r="O22">
            <v>3041685.1643720143</v>
          </cell>
          <cell r="P22">
            <v>1214245.5745996067</v>
          </cell>
        </row>
        <row r="23">
          <cell r="D23">
            <v>2118500</v>
          </cell>
          <cell r="O23">
            <v>4473314.835627985</v>
          </cell>
          <cell r="P23">
            <v>1785754.4254003935</v>
          </cell>
          <cell r="Q23">
            <v>5033927.436920484</v>
          </cell>
        </row>
        <row r="24">
          <cell r="D24">
            <v>3685750</v>
          </cell>
        </row>
      </sheetData>
      <sheetData sheetId="3">
        <row r="22">
          <cell r="R22">
            <v>307608.87889856705</v>
          </cell>
        </row>
        <row r="23">
          <cell r="G23">
            <v>9453681.306925321</v>
          </cell>
          <cell r="R23">
            <v>452391.12110143295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D164"/>
  <sheetViews>
    <sheetView zoomScalePageLayoutView="0" workbookViewId="0" topLeftCell="A26">
      <selection activeCell="R35" sqref="R35"/>
    </sheetView>
  </sheetViews>
  <sheetFormatPr defaultColWidth="9.140625" defaultRowHeight="12.75"/>
  <cols>
    <col min="1" max="1" width="3.28125" style="22" customWidth="1"/>
    <col min="2" max="2" width="2.28125" style="22" customWidth="1"/>
    <col min="3" max="3" width="4.140625" style="22" customWidth="1"/>
    <col min="4" max="4" width="7.421875" style="22" customWidth="1"/>
    <col min="5" max="5" width="9.140625" style="22" customWidth="1"/>
    <col min="6" max="6" width="10.00390625" style="22" customWidth="1"/>
    <col min="7" max="7" width="17.8515625" style="22" customWidth="1"/>
    <col min="8" max="8" width="15.7109375" style="22" customWidth="1"/>
    <col min="9" max="9" width="16.28125" style="22" customWidth="1"/>
    <col min="10" max="10" width="9.00390625" style="22" customWidth="1"/>
    <col min="11" max="11" width="3.28125" style="22" customWidth="1"/>
    <col min="12" max="12" width="4.140625" style="22" customWidth="1"/>
    <col min="13" max="13" width="4.00390625" style="22" customWidth="1"/>
    <col min="14" max="14" width="4.421875" style="22" customWidth="1"/>
    <col min="15" max="15" width="9.140625" style="22" customWidth="1"/>
    <col min="16" max="16" width="26.8515625" style="22" customWidth="1"/>
    <col min="17" max="17" width="15.8515625" style="23" customWidth="1"/>
    <col min="18" max="18" width="16.28125" style="23" customWidth="1"/>
    <col min="19" max="19" width="9.7109375" style="23" bestFit="1" customWidth="1"/>
    <col min="20" max="16384" width="9.140625" style="22" customWidth="1"/>
  </cols>
  <sheetData>
    <row r="1" spans="1:18" ht="15.75">
      <c r="A1" s="459" t="s">
        <v>75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5.75">
      <c r="A2" s="459" t="s">
        <v>330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</row>
    <row r="3" spans="6:18" ht="15.75">
      <c r="F3" s="3"/>
      <c r="G3" s="3"/>
      <c r="H3" s="3"/>
      <c r="I3" s="3"/>
      <c r="J3" s="3"/>
      <c r="K3" s="3"/>
      <c r="L3" s="3"/>
      <c r="M3" s="3"/>
      <c r="N3" s="3"/>
      <c r="O3" s="3"/>
      <c r="R3" s="83" t="s">
        <v>76</v>
      </c>
    </row>
    <row r="4" ht="16.5" thickBot="1">
      <c r="R4" s="210" t="s">
        <v>284</v>
      </c>
    </row>
    <row r="5" spans="1:19" ht="17.25" thickBot="1" thickTop="1">
      <c r="A5" s="456" t="s">
        <v>77</v>
      </c>
      <c r="B5" s="457"/>
      <c r="C5" s="457"/>
      <c r="D5" s="457"/>
      <c r="E5" s="457"/>
      <c r="F5" s="457"/>
      <c r="G5" s="457"/>
      <c r="H5" s="457"/>
      <c r="I5" s="460"/>
      <c r="J5" s="27"/>
      <c r="K5" s="456" t="s">
        <v>78</v>
      </c>
      <c r="L5" s="457"/>
      <c r="M5" s="457"/>
      <c r="N5" s="457"/>
      <c r="O5" s="457"/>
      <c r="P5" s="457"/>
      <c r="Q5" s="457"/>
      <c r="R5" s="460"/>
      <c r="S5" s="32"/>
    </row>
    <row r="6" spans="1:19" ht="16.5" hidden="1" thickTop="1">
      <c r="A6" s="33"/>
      <c r="B6" s="34"/>
      <c r="C6" s="33"/>
      <c r="D6" s="34"/>
      <c r="E6" s="34"/>
      <c r="F6" s="34"/>
      <c r="G6" s="35"/>
      <c r="H6" s="34"/>
      <c r="I6" s="36"/>
      <c r="J6" s="27"/>
      <c r="K6" s="37"/>
      <c r="L6" s="38"/>
      <c r="M6" s="39"/>
      <c r="N6" s="40"/>
      <c r="O6" s="41"/>
      <c r="P6" s="42"/>
      <c r="Q6" s="43"/>
      <c r="R6" s="44"/>
      <c r="S6" s="32"/>
    </row>
    <row r="7" spans="1:19" ht="16.5" thickTop="1">
      <c r="A7" s="45"/>
      <c r="B7" s="27"/>
      <c r="C7" s="46"/>
      <c r="D7" s="47" t="s">
        <v>80</v>
      </c>
      <c r="E7" s="27"/>
      <c r="F7" s="27"/>
      <c r="G7" s="27"/>
      <c r="H7" s="56"/>
      <c r="I7" s="55"/>
      <c r="J7" s="27"/>
      <c r="K7" s="45"/>
      <c r="L7" s="27"/>
      <c r="M7" s="27"/>
      <c r="N7" s="48" t="s">
        <v>81</v>
      </c>
      <c r="O7" s="49"/>
      <c r="P7" s="49"/>
      <c r="Q7" s="50"/>
      <c r="R7" s="50"/>
      <c r="S7" s="51"/>
    </row>
    <row r="8" spans="1:19" ht="15.75">
      <c r="A8" s="52"/>
      <c r="B8" s="27" t="s">
        <v>82</v>
      </c>
      <c r="C8" s="46">
        <v>1</v>
      </c>
      <c r="D8" s="27" t="s">
        <v>83</v>
      </c>
      <c r="F8" s="42"/>
      <c r="G8" s="42"/>
      <c r="H8" s="56"/>
      <c r="I8" s="55">
        <f>H13</f>
        <v>44200000</v>
      </c>
      <c r="K8" s="52"/>
      <c r="L8" s="27" t="s">
        <v>82</v>
      </c>
      <c r="M8" s="27">
        <v>1</v>
      </c>
      <c r="N8" s="81" t="s">
        <v>84</v>
      </c>
      <c r="O8" s="42"/>
      <c r="P8" s="27"/>
      <c r="Q8" s="56"/>
      <c r="R8" s="57">
        <f>SUM(Q13:Q16)</f>
        <v>684100000</v>
      </c>
      <c r="S8" s="51"/>
    </row>
    <row r="9" spans="1:19" ht="15.75" hidden="1">
      <c r="A9" s="52"/>
      <c r="B9" s="42"/>
      <c r="C9" s="53"/>
      <c r="D9" s="41"/>
      <c r="E9" s="42"/>
      <c r="F9" s="42"/>
      <c r="G9" s="42"/>
      <c r="H9" s="54"/>
      <c r="I9" s="55"/>
      <c r="K9" s="45"/>
      <c r="L9" s="27"/>
      <c r="M9" s="27"/>
      <c r="N9" s="81"/>
      <c r="O9" s="42"/>
      <c r="P9" s="27"/>
      <c r="Q9" s="54"/>
      <c r="R9" s="50"/>
      <c r="S9" s="51"/>
    </row>
    <row r="10" spans="1:19" ht="15.75" hidden="1">
      <c r="A10" s="52"/>
      <c r="B10" s="42"/>
      <c r="C10" s="53"/>
      <c r="D10" s="41"/>
      <c r="E10" s="42"/>
      <c r="F10" s="42"/>
      <c r="G10" s="42"/>
      <c r="H10" s="54"/>
      <c r="I10" s="55"/>
      <c r="K10" s="45"/>
      <c r="L10" s="27"/>
      <c r="M10" s="27"/>
      <c r="N10" s="81"/>
      <c r="O10" s="42"/>
      <c r="P10" s="42"/>
      <c r="Q10" s="54"/>
      <c r="R10" s="50"/>
      <c r="S10" s="51"/>
    </row>
    <row r="11" spans="1:19" ht="15.75" hidden="1">
      <c r="A11" s="52"/>
      <c r="B11" s="42"/>
      <c r="C11" s="53"/>
      <c r="D11" s="41"/>
      <c r="E11" s="58"/>
      <c r="F11" s="42"/>
      <c r="G11" s="42"/>
      <c r="H11" s="54"/>
      <c r="I11" s="55"/>
      <c r="K11" s="45"/>
      <c r="L11" s="27"/>
      <c r="M11" s="27"/>
      <c r="N11" s="81"/>
      <c r="O11" s="58"/>
      <c r="P11" s="42"/>
      <c r="Q11" s="54"/>
      <c r="R11" s="50"/>
      <c r="S11" s="51"/>
    </row>
    <row r="12" spans="1:19" ht="15.75" hidden="1">
      <c r="A12" s="52"/>
      <c r="B12" s="42"/>
      <c r="C12" s="53"/>
      <c r="D12" s="41"/>
      <c r="E12" s="58"/>
      <c r="F12" s="42"/>
      <c r="G12" s="42"/>
      <c r="H12" s="54"/>
      <c r="I12" s="55"/>
      <c r="K12" s="45"/>
      <c r="L12" s="27"/>
      <c r="M12" s="27"/>
      <c r="N12" s="81"/>
      <c r="O12" s="58"/>
      <c r="P12" s="42"/>
      <c r="Q12" s="54"/>
      <c r="R12" s="50"/>
      <c r="S12" s="51"/>
    </row>
    <row r="13" spans="1:19" ht="15.75">
      <c r="A13" s="52"/>
      <c r="B13" s="42"/>
      <c r="C13" s="53"/>
      <c r="D13" s="41"/>
      <c r="E13" s="58" t="s">
        <v>83</v>
      </c>
      <c r="F13" s="42"/>
      <c r="G13" s="42"/>
      <c r="H13" s="54">
        <f>Bevétel!K9</f>
        <v>44200000</v>
      </c>
      <c r="I13" s="55"/>
      <c r="K13" s="45"/>
      <c r="L13" s="27"/>
      <c r="M13" s="27"/>
      <c r="N13" s="81"/>
      <c r="O13" s="59" t="s">
        <v>14</v>
      </c>
      <c r="P13" s="60"/>
      <c r="Q13" s="54">
        <f>Kiadás!H38</f>
        <v>475852461</v>
      </c>
      <c r="R13" s="50"/>
      <c r="S13" s="51"/>
    </row>
    <row r="14" spans="1:19" ht="15.75">
      <c r="A14" s="52"/>
      <c r="B14" s="42"/>
      <c r="C14" s="53"/>
      <c r="D14" s="41"/>
      <c r="E14" s="458"/>
      <c r="F14" s="458"/>
      <c r="G14" s="458"/>
      <c r="H14" s="54"/>
      <c r="I14" s="55"/>
      <c r="K14" s="45"/>
      <c r="L14" s="27"/>
      <c r="M14" s="27"/>
      <c r="N14" s="81"/>
      <c r="O14" s="60" t="s">
        <v>266</v>
      </c>
      <c r="P14" s="60"/>
      <c r="Q14" s="84">
        <f>Kiadás!I38</f>
        <v>84100658</v>
      </c>
      <c r="R14" s="50"/>
      <c r="S14" s="51"/>
    </row>
    <row r="15" spans="1:19" ht="15.75">
      <c r="A15" s="52"/>
      <c r="B15" s="42"/>
      <c r="C15" s="46">
        <v>2</v>
      </c>
      <c r="D15" s="3" t="s">
        <v>249</v>
      </c>
      <c r="E15" s="27"/>
      <c r="F15" s="42"/>
      <c r="G15" s="42"/>
      <c r="H15" s="54"/>
      <c r="I15" s="55">
        <f>H16+H23</f>
        <v>590804104</v>
      </c>
      <c r="K15" s="45"/>
      <c r="L15" s="27"/>
      <c r="M15" s="27"/>
      <c r="N15" s="81"/>
      <c r="O15" s="60" t="s">
        <v>267</v>
      </c>
      <c r="P15" s="60"/>
      <c r="Q15" s="84">
        <f>Kiadás!J38</f>
        <v>121357881</v>
      </c>
      <c r="R15" s="50"/>
      <c r="S15" s="51"/>
    </row>
    <row r="16" spans="1:19" ht="15.75">
      <c r="A16" s="52"/>
      <c r="B16" s="42"/>
      <c r="C16" s="53"/>
      <c r="D16" s="47"/>
      <c r="E16" s="27" t="s">
        <v>251</v>
      </c>
      <c r="F16" s="27"/>
      <c r="G16" s="27"/>
      <c r="H16" s="56">
        <f>SUM(H17:H19)</f>
        <v>589074104</v>
      </c>
      <c r="I16" s="55"/>
      <c r="K16" s="45"/>
      <c r="L16" s="27"/>
      <c r="M16" s="27"/>
      <c r="N16" s="81"/>
      <c r="O16" s="60" t="s">
        <v>268</v>
      </c>
      <c r="P16" s="60"/>
      <c r="Q16" s="84">
        <f>SUM(Q17:Q18)</f>
        <v>2789000</v>
      </c>
      <c r="R16" s="50"/>
      <c r="S16" s="51"/>
    </row>
    <row r="17" spans="1:19" ht="15.75">
      <c r="A17" s="52"/>
      <c r="B17" s="42"/>
      <c r="C17" s="46"/>
      <c r="D17" s="47"/>
      <c r="E17" s="58" t="s">
        <v>250</v>
      </c>
      <c r="F17" s="27"/>
      <c r="G17" s="27"/>
      <c r="H17" s="54">
        <f>Bevétel!I28</f>
        <v>409039508</v>
      </c>
      <c r="I17" s="55"/>
      <c r="K17" s="45"/>
      <c r="L17" s="27"/>
      <c r="M17" s="27"/>
      <c r="N17" s="81"/>
      <c r="O17" s="60" t="s">
        <v>269</v>
      </c>
      <c r="P17" s="60"/>
      <c r="Q17" s="84">
        <f>Kiadás!N38</f>
        <v>2789000</v>
      </c>
      <c r="R17" s="50"/>
      <c r="S17" s="51"/>
    </row>
    <row r="18" spans="1:19" ht="15.75">
      <c r="A18" s="52"/>
      <c r="B18" s="42"/>
      <c r="C18" s="62"/>
      <c r="D18" s="47"/>
      <c r="E18" s="58" t="s">
        <v>61</v>
      </c>
      <c r="F18" s="27"/>
      <c r="G18" s="27"/>
      <c r="H18" s="54">
        <f>Bevétel!I29</f>
        <v>155687492.6426938</v>
      </c>
      <c r="I18" s="55"/>
      <c r="K18" s="45"/>
      <c r="L18" s="27"/>
      <c r="M18" s="27"/>
      <c r="N18" s="81"/>
      <c r="O18" s="60" t="s">
        <v>270</v>
      </c>
      <c r="P18" s="42"/>
      <c r="Q18" s="54"/>
      <c r="R18" s="50"/>
      <c r="S18" s="51"/>
    </row>
    <row r="19" spans="1:19" ht="15.75">
      <c r="A19" s="52"/>
      <c r="B19" s="42"/>
      <c r="C19" s="62"/>
      <c r="D19" s="47"/>
      <c r="E19" s="58" t="s">
        <v>31</v>
      </c>
      <c r="F19" s="27"/>
      <c r="G19" s="27"/>
      <c r="H19" s="54">
        <f>Bevétel!I30</f>
        <v>24347103.357306205</v>
      </c>
      <c r="I19" s="55"/>
      <c r="K19" s="45"/>
      <c r="L19" s="27"/>
      <c r="M19" s="27"/>
      <c r="N19" s="81"/>
      <c r="O19" s="42"/>
      <c r="P19" s="42"/>
      <c r="Q19" s="54"/>
      <c r="R19" s="50"/>
      <c r="S19" s="51"/>
    </row>
    <row r="20" spans="1:19" ht="15.75">
      <c r="A20" s="52"/>
      <c r="B20" s="42"/>
      <c r="C20" s="62"/>
      <c r="D20" s="47"/>
      <c r="E20" s="58"/>
      <c r="F20" s="27"/>
      <c r="G20" s="27"/>
      <c r="H20" s="54"/>
      <c r="I20" s="55"/>
      <c r="K20" s="45"/>
      <c r="L20" s="27"/>
      <c r="M20" s="27"/>
      <c r="N20" s="81"/>
      <c r="O20" s="58"/>
      <c r="P20" s="42"/>
      <c r="Q20" s="50"/>
      <c r="R20" s="50"/>
      <c r="S20" s="51"/>
    </row>
    <row r="21" spans="1:19" ht="15.75" customHeight="1" hidden="1">
      <c r="A21" s="52"/>
      <c r="B21" s="42"/>
      <c r="C21" s="63"/>
      <c r="D21" s="47"/>
      <c r="E21" s="58"/>
      <c r="F21" s="27"/>
      <c r="G21" s="27"/>
      <c r="H21" s="54"/>
      <c r="I21" s="55"/>
      <c r="K21" s="45"/>
      <c r="L21" s="27"/>
      <c r="M21" s="27"/>
      <c r="N21" s="81"/>
      <c r="O21" s="58"/>
      <c r="P21" s="27"/>
      <c r="Q21" s="50"/>
      <c r="R21" s="50"/>
      <c r="S21" s="51"/>
    </row>
    <row r="22" spans="1:19" ht="15.75" customHeight="1" hidden="1">
      <c r="A22" s="52"/>
      <c r="B22" s="42"/>
      <c r="C22" s="62"/>
      <c r="D22" s="47"/>
      <c r="E22" s="61"/>
      <c r="F22" s="27"/>
      <c r="G22" s="27"/>
      <c r="H22" s="54"/>
      <c r="I22" s="55"/>
      <c r="K22" s="45"/>
      <c r="L22" s="27"/>
      <c r="M22" s="27"/>
      <c r="N22" s="81"/>
      <c r="O22" s="58"/>
      <c r="P22" s="27"/>
      <c r="Q22" s="50"/>
      <c r="R22" s="50"/>
      <c r="S22" s="51"/>
    </row>
    <row r="23" spans="1:19" ht="15.75">
      <c r="A23" s="52"/>
      <c r="B23" s="42"/>
      <c r="C23" s="62"/>
      <c r="D23" s="47"/>
      <c r="E23" s="61" t="s">
        <v>252</v>
      </c>
      <c r="F23" s="27"/>
      <c r="G23" s="27"/>
      <c r="H23" s="56">
        <f>SUM(H26)</f>
        <v>1730000</v>
      </c>
      <c r="I23" s="55"/>
      <c r="K23" s="45"/>
      <c r="L23" s="27"/>
      <c r="M23" s="27"/>
      <c r="N23" s="81"/>
      <c r="O23" s="58"/>
      <c r="P23" s="27"/>
      <c r="Q23" s="50"/>
      <c r="R23" s="50"/>
      <c r="S23" s="51"/>
    </row>
    <row r="24" spans="1:19" ht="15.75" hidden="1">
      <c r="A24" s="52"/>
      <c r="B24" s="42"/>
      <c r="C24" s="53"/>
      <c r="D24" s="41"/>
      <c r="E24" s="58" t="s">
        <v>250</v>
      </c>
      <c r="F24" s="27"/>
      <c r="G24" s="27"/>
      <c r="H24" s="54"/>
      <c r="I24" s="55"/>
      <c r="K24" s="45"/>
      <c r="L24" s="27"/>
      <c r="M24" s="27"/>
      <c r="N24" s="81"/>
      <c r="O24" s="42"/>
      <c r="P24" s="27"/>
      <c r="Q24" s="50"/>
      <c r="R24" s="50"/>
      <c r="S24" s="51"/>
    </row>
    <row r="25" spans="1:19" ht="15.75" hidden="1">
      <c r="A25" s="52"/>
      <c r="B25" s="42"/>
      <c r="C25" s="53"/>
      <c r="D25" s="41"/>
      <c r="E25" s="58"/>
      <c r="F25" s="42"/>
      <c r="G25" s="42"/>
      <c r="H25" s="54"/>
      <c r="I25" s="55"/>
      <c r="K25" s="45"/>
      <c r="L25" s="27"/>
      <c r="M25" s="27"/>
      <c r="N25" s="81"/>
      <c r="O25" s="42"/>
      <c r="P25" s="27"/>
      <c r="Q25" s="50"/>
      <c r="R25" s="50"/>
      <c r="S25" s="51"/>
    </row>
    <row r="26" spans="1:19" ht="15.75">
      <c r="A26" s="52"/>
      <c r="B26" s="42"/>
      <c r="C26" s="46"/>
      <c r="D26" s="3"/>
      <c r="E26" s="58" t="s">
        <v>282</v>
      </c>
      <c r="F26" s="42"/>
      <c r="G26" s="42"/>
      <c r="H26" s="54">
        <f>Bevétel!I31</f>
        <v>1730000</v>
      </c>
      <c r="I26" s="55"/>
      <c r="K26" s="45"/>
      <c r="L26" s="27"/>
      <c r="M26" s="27"/>
      <c r="N26" s="81"/>
      <c r="O26" s="42"/>
      <c r="P26" s="27"/>
      <c r="Q26" s="57"/>
      <c r="R26" s="57"/>
      <c r="S26" s="51"/>
    </row>
    <row r="27" spans="1:19" ht="15.75">
      <c r="A27" s="45"/>
      <c r="B27" s="27"/>
      <c r="C27" s="53"/>
      <c r="D27" s="47"/>
      <c r="E27" s="27"/>
      <c r="F27" s="27"/>
      <c r="G27" s="27"/>
      <c r="H27" s="56"/>
      <c r="I27" s="55"/>
      <c r="K27" s="45"/>
      <c r="N27" s="82"/>
      <c r="O27" s="58"/>
      <c r="Q27" s="50"/>
      <c r="R27" s="57"/>
      <c r="S27" s="51"/>
    </row>
    <row r="28" spans="1:19" ht="15.75">
      <c r="A28" s="45"/>
      <c r="B28" s="27"/>
      <c r="C28" s="46"/>
      <c r="D28" s="47"/>
      <c r="E28" s="58"/>
      <c r="F28" s="27"/>
      <c r="G28" s="27"/>
      <c r="H28" s="113"/>
      <c r="I28" s="55"/>
      <c r="K28" s="45"/>
      <c r="N28" s="82"/>
      <c r="O28" s="42"/>
      <c r="Q28" s="50"/>
      <c r="R28" s="50"/>
      <c r="S28" s="51"/>
    </row>
    <row r="29" spans="1:19" ht="15.75">
      <c r="A29" s="45"/>
      <c r="B29" s="27" t="s">
        <v>20</v>
      </c>
      <c r="C29" s="62" t="s">
        <v>253</v>
      </c>
      <c r="D29" s="3" t="s">
        <v>271</v>
      </c>
      <c r="E29" s="27"/>
      <c r="F29" s="42"/>
      <c r="G29" s="27"/>
      <c r="H29" s="113"/>
      <c r="I29" s="55">
        <f>SUM(H30:H32)</f>
        <v>20086000</v>
      </c>
      <c r="K29" s="45"/>
      <c r="L29" s="27" t="s">
        <v>20</v>
      </c>
      <c r="M29" s="27"/>
      <c r="N29" s="81" t="s">
        <v>87</v>
      </c>
      <c r="O29" s="42"/>
      <c r="P29" s="27"/>
      <c r="Q29" s="50"/>
      <c r="R29" s="57">
        <f>SUM(Q30:Q33)</f>
        <v>20086000</v>
      </c>
      <c r="S29" s="51"/>
    </row>
    <row r="30" spans="1:19" ht="15.75">
      <c r="A30" s="45"/>
      <c r="B30" s="42"/>
      <c r="C30" s="46"/>
      <c r="D30" s="41"/>
      <c r="E30" s="58" t="s">
        <v>61</v>
      </c>
      <c r="F30" s="42"/>
      <c r="G30" s="27"/>
      <c r="H30" s="113">
        <f>Bevétel!I36</f>
        <v>20086000</v>
      </c>
      <c r="I30" s="55"/>
      <c r="K30" s="45"/>
      <c r="L30" s="27"/>
      <c r="M30" s="42"/>
      <c r="N30" s="82"/>
      <c r="O30" s="59" t="s">
        <v>264</v>
      </c>
      <c r="P30" s="60"/>
      <c r="Q30" s="50">
        <f>Kiadás!K33</f>
        <v>20086000</v>
      </c>
      <c r="R30" s="50"/>
      <c r="S30" s="51"/>
    </row>
    <row r="31" spans="1:19" ht="15.75" hidden="1">
      <c r="A31" s="45"/>
      <c r="B31" s="42"/>
      <c r="C31" s="46"/>
      <c r="D31" s="41"/>
      <c r="E31" s="58"/>
      <c r="F31" s="42"/>
      <c r="G31" s="27"/>
      <c r="H31" s="119"/>
      <c r="I31" s="55"/>
      <c r="K31" s="45"/>
      <c r="L31" s="27"/>
      <c r="M31" s="42"/>
      <c r="N31" s="82"/>
      <c r="O31" s="60" t="s">
        <v>254</v>
      </c>
      <c r="P31" s="60"/>
      <c r="Q31" s="50"/>
      <c r="R31" s="50"/>
      <c r="S31" s="51"/>
    </row>
    <row r="32" spans="1:19" ht="15.75">
      <c r="A32" s="45"/>
      <c r="B32" s="42"/>
      <c r="C32" s="46"/>
      <c r="D32" s="41"/>
      <c r="E32" s="58" t="s">
        <v>31</v>
      </c>
      <c r="F32" s="42"/>
      <c r="G32" s="27"/>
      <c r="H32" s="113">
        <f>Bevétel!I37</f>
        <v>0</v>
      </c>
      <c r="I32" s="55"/>
      <c r="K32" s="45"/>
      <c r="L32" s="27"/>
      <c r="M32" s="42"/>
      <c r="N32" s="82"/>
      <c r="O32" s="60" t="s">
        <v>169</v>
      </c>
      <c r="P32" s="60"/>
      <c r="Q32" s="85"/>
      <c r="R32" s="85"/>
      <c r="S32" s="51"/>
    </row>
    <row r="33" spans="1:19" ht="15.75">
      <c r="A33" s="45"/>
      <c r="B33" s="42"/>
      <c r="C33" s="46"/>
      <c r="D33" s="41"/>
      <c r="E33" s="58"/>
      <c r="F33" s="42"/>
      <c r="G33" s="27"/>
      <c r="H33" s="113"/>
      <c r="I33" s="55"/>
      <c r="K33" s="45"/>
      <c r="L33" s="27"/>
      <c r="M33" s="42"/>
      <c r="N33" s="82"/>
      <c r="O33" s="60" t="s">
        <v>265</v>
      </c>
      <c r="P33" s="60"/>
      <c r="Q33" s="50"/>
      <c r="R33" s="50"/>
      <c r="S33" s="51"/>
    </row>
    <row r="34" spans="1:19" ht="15.75">
      <c r="A34" s="45"/>
      <c r="B34" s="42"/>
      <c r="C34" s="46"/>
      <c r="D34" s="82"/>
      <c r="E34" s="58"/>
      <c r="F34" s="42"/>
      <c r="G34" s="27"/>
      <c r="H34" s="113"/>
      <c r="I34" s="55"/>
      <c r="K34" s="45"/>
      <c r="L34" s="27"/>
      <c r="M34" s="42"/>
      <c r="N34" s="82"/>
      <c r="O34" s="60"/>
      <c r="P34" s="60"/>
      <c r="Q34" s="85"/>
      <c r="R34" s="85"/>
      <c r="S34" s="51"/>
    </row>
    <row r="35" spans="1:19" ht="15.75">
      <c r="A35" s="45"/>
      <c r="B35" s="42"/>
      <c r="C35" s="46"/>
      <c r="D35" s="82"/>
      <c r="E35" s="58"/>
      <c r="F35" s="42"/>
      <c r="G35" s="27"/>
      <c r="H35" s="113"/>
      <c r="I35" s="55"/>
      <c r="K35" s="45"/>
      <c r="L35" s="27" t="s">
        <v>3</v>
      </c>
      <c r="M35" s="42"/>
      <c r="N35" s="47" t="s">
        <v>98</v>
      </c>
      <c r="O35" s="58"/>
      <c r="P35" s="27"/>
      <c r="Q35" s="85"/>
      <c r="R35" s="57">
        <f>SUM(Q36:Q39)</f>
        <v>2384000</v>
      </c>
      <c r="S35" s="51"/>
    </row>
    <row r="36" spans="1:19" ht="15.75">
      <c r="A36" s="45"/>
      <c r="B36" s="27"/>
      <c r="C36" s="62"/>
      <c r="D36" s="47"/>
      <c r="E36" s="58"/>
      <c r="F36" s="27"/>
      <c r="G36" s="27"/>
      <c r="H36" s="113"/>
      <c r="I36" s="55"/>
      <c r="K36" s="45"/>
      <c r="L36" s="27"/>
      <c r="M36" s="42"/>
      <c r="N36" s="47"/>
      <c r="O36" s="42" t="s">
        <v>1</v>
      </c>
      <c r="P36" s="27"/>
      <c r="Q36" s="50">
        <f>Kiadás!K36</f>
        <v>2384000</v>
      </c>
      <c r="R36" s="50"/>
      <c r="S36" s="51"/>
    </row>
    <row r="37" spans="1:19" ht="15.75" hidden="1">
      <c r="A37" s="52"/>
      <c r="B37" s="42"/>
      <c r="C37" s="46"/>
      <c r="D37" s="41"/>
      <c r="E37" s="58"/>
      <c r="F37" s="42"/>
      <c r="G37" s="42"/>
      <c r="H37" s="113"/>
      <c r="I37" s="65"/>
      <c r="K37" s="45"/>
      <c r="L37" s="27"/>
      <c r="M37" s="27"/>
      <c r="N37" s="47"/>
      <c r="O37" s="58"/>
      <c r="P37" s="42" t="s">
        <v>1</v>
      </c>
      <c r="Q37" s="50"/>
      <c r="R37" s="50"/>
      <c r="S37" s="32"/>
    </row>
    <row r="38" spans="1:19" ht="15.75" hidden="1">
      <c r="A38" s="45"/>
      <c r="B38" s="27" t="s">
        <v>20</v>
      </c>
      <c r="C38" s="46"/>
      <c r="D38" s="47"/>
      <c r="E38" s="61"/>
      <c r="F38" s="27"/>
      <c r="G38" s="42"/>
      <c r="H38" s="113"/>
      <c r="I38" s="65"/>
      <c r="K38" s="45"/>
      <c r="L38" s="27"/>
      <c r="M38" s="27"/>
      <c r="N38" s="47"/>
      <c r="O38" s="60" t="s">
        <v>265</v>
      </c>
      <c r="P38" s="42"/>
      <c r="Q38" s="50"/>
      <c r="R38" s="50"/>
      <c r="S38" s="32"/>
    </row>
    <row r="39" spans="1:19" ht="16.5" thickBot="1">
      <c r="A39" s="52"/>
      <c r="B39" s="42"/>
      <c r="C39" s="53"/>
      <c r="D39" s="41"/>
      <c r="E39" s="58"/>
      <c r="G39" s="42"/>
      <c r="H39" s="113"/>
      <c r="I39" s="55"/>
      <c r="K39" s="52"/>
      <c r="L39" s="42"/>
      <c r="M39" s="42"/>
      <c r="N39" s="41"/>
      <c r="O39" s="42"/>
      <c r="P39" s="42"/>
      <c r="Q39" s="57"/>
      <c r="R39" s="57"/>
      <c r="S39" s="51"/>
    </row>
    <row r="40" spans="1:19" ht="17.25" thickBot="1" thickTop="1">
      <c r="A40" s="24"/>
      <c r="B40" s="25" t="s">
        <v>95</v>
      </c>
      <c r="C40" s="29"/>
      <c r="D40" s="26"/>
      <c r="E40" s="66"/>
      <c r="F40" s="25"/>
      <c r="G40" s="28"/>
      <c r="H40" s="67"/>
      <c r="I40" s="68">
        <f>SUM(I7:I39)</f>
        <v>655090104</v>
      </c>
      <c r="K40" s="24"/>
      <c r="L40" s="28"/>
      <c r="M40" s="25" t="s">
        <v>81</v>
      </c>
      <c r="N40" s="30"/>
      <c r="O40" s="28"/>
      <c r="P40" s="28"/>
      <c r="Q40" s="31"/>
      <c r="R40" s="69">
        <f>SUM(R7:R36)</f>
        <v>706570000</v>
      </c>
      <c r="S40" s="32"/>
    </row>
    <row r="41" spans="1:19" ht="16.5" hidden="1" thickTop="1">
      <c r="A41" s="45" t="s">
        <v>96</v>
      </c>
      <c r="B41" s="27"/>
      <c r="C41" s="46"/>
      <c r="D41" s="47" t="s">
        <v>97</v>
      </c>
      <c r="E41" s="58"/>
      <c r="F41" s="42"/>
      <c r="G41" s="42"/>
      <c r="H41" s="54"/>
      <c r="I41" s="65"/>
      <c r="K41" s="52"/>
      <c r="L41" s="27" t="s">
        <v>2</v>
      </c>
      <c r="M41" s="27"/>
      <c r="N41" s="47" t="s">
        <v>98</v>
      </c>
      <c r="O41" s="58"/>
      <c r="P41" s="27"/>
      <c r="Q41" s="50"/>
      <c r="R41" s="50"/>
      <c r="S41" s="32"/>
    </row>
    <row r="42" spans="1:19" ht="16.5" hidden="1" thickTop="1">
      <c r="A42" s="45"/>
      <c r="B42" s="27" t="s">
        <v>99</v>
      </c>
      <c r="C42" s="46"/>
      <c r="D42" s="41"/>
      <c r="E42" s="61" t="s">
        <v>100</v>
      </c>
      <c r="F42" s="42"/>
      <c r="G42" s="42"/>
      <c r="H42" s="54"/>
      <c r="I42" s="65"/>
      <c r="K42" s="52"/>
      <c r="L42" s="42"/>
      <c r="M42" s="27">
        <v>2</v>
      </c>
      <c r="N42" s="47"/>
      <c r="O42" s="61" t="s">
        <v>101</v>
      </c>
      <c r="P42" s="27"/>
      <c r="Q42" s="50"/>
      <c r="R42" s="50"/>
      <c r="S42" s="32"/>
    </row>
    <row r="43" spans="1:19" ht="16.5" hidden="1" thickTop="1">
      <c r="A43" s="45"/>
      <c r="B43" s="27"/>
      <c r="C43" s="46"/>
      <c r="D43" s="41"/>
      <c r="E43" s="58" t="s">
        <v>102</v>
      </c>
      <c r="F43" s="42"/>
      <c r="G43" s="42"/>
      <c r="H43" s="54"/>
      <c r="I43" s="65"/>
      <c r="K43" s="52"/>
      <c r="L43" s="42"/>
      <c r="M43" s="27"/>
      <c r="N43" s="47"/>
      <c r="O43" s="58"/>
      <c r="P43" s="42" t="s">
        <v>1</v>
      </c>
      <c r="Q43" s="50"/>
      <c r="R43" s="50"/>
      <c r="S43" s="32"/>
    </row>
    <row r="44" spans="1:19" ht="16.5" hidden="1" thickTop="1">
      <c r="A44" s="45"/>
      <c r="B44" s="27"/>
      <c r="C44" s="46"/>
      <c r="D44" s="41"/>
      <c r="E44" s="58" t="s">
        <v>103</v>
      </c>
      <c r="F44" s="42"/>
      <c r="G44" s="42"/>
      <c r="H44" s="54"/>
      <c r="I44" s="65"/>
      <c r="K44" s="45"/>
      <c r="L44" s="42"/>
      <c r="M44" s="27"/>
      <c r="N44" s="47"/>
      <c r="O44" s="27"/>
      <c r="P44" s="42"/>
      <c r="Q44" s="50"/>
      <c r="R44" s="50"/>
      <c r="S44" s="32"/>
    </row>
    <row r="45" spans="1:19" ht="17.25" hidden="1" thickBot="1" thickTop="1">
      <c r="A45" s="24"/>
      <c r="B45" s="25" t="s">
        <v>104</v>
      </c>
      <c r="C45" s="29"/>
      <c r="D45" s="30"/>
      <c r="E45" s="70"/>
      <c r="F45" s="28"/>
      <c r="G45" s="28"/>
      <c r="H45" s="54"/>
      <c r="I45" s="65"/>
      <c r="K45" s="71"/>
      <c r="L45" s="28"/>
      <c r="M45" s="25" t="s">
        <v>105</v>
      </c>
      <c r="N45" s="26"/>
      <c r="O45" s="25"/>
      <c r="P45" s="25"/>
      <c r="Q45" s="50"/>
      <c r="R45" s="50"/>
      <c r="S45" s="32"/>
    </row>
    <row r="46" spans="1:19" ht="16.5" hidden="1" thickTop="1">
      <c r="A46" s="45"/>
      <c r="B46" s="27"/>
      <c r="C46" s="52"/>
      <c r="D46" s="58"/>
      <c r="E46" s="42"/>
      <c r="F46" s="42"/>
      <c r="G46" s="50"/>
      <c r="H46" s="54"/>
      <c r="I46" s="65"/>
      <c r="K46" s="52"/>
      <c r="L46" s="27"/>
      <c r="M46" s="72"/>
      <c r="N46" s="42"/>
      <c r="O46" s="58"/>
      <c r="P46" s="42"/>
      <c r="Q46" s="50"/>
      <c r="R46" s="50"/>
      <c r="S46" s="32"/>
    </row>
    <row r="47" spans="1:19" ht="16.5" hidden="1" thickTop="1">
      <c r="A47" s="45"/>
      <c r="B47" s="27"/>
      <c r="C47" s="52"/>
      <c r="D47" s="58"/>
      <c r="E47" s="42"/>
      <c r="F47" s="42"/>
      <c r="G47" s="50"/>
      <c r="H47" s="54"/>
      <c r="I47" s="65"/>
      <c r="K47" s="52"/>
      <c r="L47" s="27"/>
      <c r="M47" s="72"/>
      <c r="N47" s="42"/>
      <c r="O47" s="58"/>
      <c r="P47" s="42"/>
      <c r="Q47" s="50"/>
      <c r="R47" s="50"/>
      <c r="S47" s="32"/>
    </row>
    <row r="48" spans="1:19" ht="16.5" thickTop="1">
      <c r="A48" s="45"/>
      <c r="B48" s="27" t="s">
        <v>3</v>
      </c>
      <c r="C48" s="46"/>
      <c r="D48" s="47" t="s">
        <v>97</v>
      </c>
      <c r="E48" s="58"/>
      <c r="F48" s="42"/>
      <c r="G48" s="42"/>
      <c r="H48" s="54"/>
      <c r="I48" s="55">
        <f>SUM(H51:H52)</f>
        <v>51479896</v>
      </c>
      <c r="J48" s="42"/>
      <c r="K48" s="45"/>
      <c r="L48" s="27"/>
      <c r="M48" s="27"/>
      <c r="N48" s="47"/>
      <c r="O48" s="58"/>
      <c r="P48" s="27"/>
      <c r="Q48" s="54"/>
      <c r="R48" s="57">
        <f>SUM(Q51)</f>
        <v>0</v>
      </c>
      <c r="S48" s="32"/>
    </row>
    <row r="49" spans="1:19" ht="15.75" hidden="1">
      <c r="A49" s="45"/>
      <c r="B49" s="27" t="s">
        <v>99</v>
      </c>
      <c r="C49" s="46"/>
      <c r="D49" s="41"/>
      <c r="E49" s="61" t="s">
        <v>100</v>
      </c>
      <c r="F49" s="42"/>
      <c r="G49" s="42"/>
      <c r="H49" s="54"/>
      <c r="I49" s="65"/>
      <c r="J49" s="42"/>
      <c r="K49" s="52"/>
      <c r="L49" s="42"/>
      <c r="M49" s="27"/>
      <c r="N49" s="47"/>
      <c r="O49" s="61"/>
      <c r="P49" s="27"/>
      <c r="Q49" s="54"/>
      <c r="R49" s="50"/>
      <c r="S49" s="32"/>
    </row>
    <row r="50" spans="1:19" ht="15.75">
      <c r="A50" s="45"/>
      <c r="B50" s="27"/>
      <c r="C50" s="46"/>
      <c r="D50" s="82"/>
      <c r="E50" s="58" t="s">
        <v>100</v>
      </c>
      <c r="F50" s="42"/>
      <c r="G50" s="42"/>
      <c r="H50" s="54"/>
      <c r="I50" s="65"/>
      <c r="J50" s="42"/>
      <c r="K50" s="52"/>
      <c r="L50" s="42"/>
      <c r="M50" s="27"/>
      <c r="N50" s="81"/>
      <c r="O50" s="61"/>
      <c r="P50" s="27"/>
      <c r="Q50" s="54"/>
      <c r="R50" s="85"/>
      <c r="S50" s="32"/>
    </row>
    <row r="51" spans="1:19" ht="15.75">
      <c r="A51" s="45"/>
      <c r="B51" s="27"/>
      <c r="C51" s="46"/>
      <c r="D51" s="41"/>
      <c r="E51" s="58" t="s">
        <v>274</v>
      </c>
      <c r="F51" s="42"/>
      <c r="G51" s="42"/>
      <c r="H51" s="54">
        <f>Bevétel!I43</f>
        <v>38579896</v>
      </c>
      <c r="I51" s="55"/>
      <c r="J51" s="42"/>
      <c r="K51" s="52"/>
      <c r="L51" s="42"/>
      <c r="M51" s="27"/>
      <c r="N51" s="47"/>
      <c r="O51" s="58"/>
      <c r="P51" s="42"/>
      <c r="Q51" s="54"/>
      <c r="R51" s="50"/>
      <c r="S51" s="51"/>
    </row>
    <row r="52" spans="1:19" ht="16.5" thickBot="1">
      <c r="A52" s="45"/>
      <c r="B52" s="27"/>
      <c r="C52" s="46"/>
      <c r="D52" s="41"/>
      <c r="E52" s="58" t="s">
        <v>275</v>
      </c>
      <c r="F52" s="42"/>
      <c r="G52" s="42"/>
      <c r="H52" s="54">
        <f>Bevétel!I44</f>
        <v>12900000</v>
      </c>
      <c r="I52" s="55"/>
      <c r="J52" s="42"/>
      <c r="K52" s="45"/>
      <c r="L52" s="42"/>
      <c r="M52" s="27"/>
      <c r="N52" s="47"/>
      <c r="O52" s="27"/>
      <c r="P52" s="42"/>
      <c r="Q52" s="73"/>
      <c r="R52" s="74"/>
      <c r="S52" s="51"/>
    </row>
    <row r="53" spans="1:19" ht="17.25" thickBot="1" thickTop="1">
      <c r="A53" s="24"/>
      <c r="B53" s="25" t="s">
        <v>272</v>
      </c>
      <c r="C53" s="29"/>
      <c r="D53" s="26"/>
      <c r="E53" s="66"/>
      <c r="F53" s="25"/>
      <c r="G53" s="28"/>
      <c r="H53" s="67"/>
      <c r="I53" s="68">
        <f>SUM(I48:I52)</f>
        <v>51479896</v>
      </c>
      <c r="K53" s="24"/>
      <c r="L53" s="28"/>
      <c r="M53" s="25" t="s">
        <v>273</v>
      </c>
      <c r="N53" s="30"/>
      <c r="O53" s="28"/>
      <c r="P53" s="28"/>
      <c r="Q53" s="31"/>
      <c r="R53" s="69">
        <f>SUM(R48:R52)</f>
        <v>0</v>
      </c>
      <c r="S53" s="32"/>
    </row>
    <row r="54" spans="1:19" ht="17.25" thickBot="1" thickTop="1">
      <c r="A54" s="456" t="s">
        <v>104</v>
      </c>
      <c r="B54" s="457"/>
      <c r="C54" s="457"/>
      <c r="D54" s="457"/>
      <c r="E54" s="457"/>
      <c r="F54" s="457"/>
      <c r="G54" s="457"/>
      <c r="H54" s="457"/>
      <c r="I54" s="68">
        <f>I40+I53</f>
        <v>706570000</v>
      </c>
      <c r="J54" s="42"/>
      <c r="K54" s="456" t="s">
        <v>105</v>
      </c>
      <c r="L54" s="457"/>
      <c r="M54" s="457"/>
      <c r="N54" s="457"/>
      <c r="O54" s="457"/>
      <c r="P54" s="457"/>
      <c r="Q54" s="457"/>
      <c r="R54" s="75">
        <f>R40+R53</f>
        <v>706570000</v>
      </c>
      <c r="S54" s="51"/>
    </row>
    <row r="55" spans="1:19" ht="16.5" thickTop="1">
      <c r="A55" s="27"/>
      <c r="B55" s="27"/>
      <c r="C55" s="27"/>
      <c r="D55" s="27"/>
      <c r="E55" s="27"/>
      <c r="F55" s="27"/>
      <c r="G55" s="76"/>
      <c r="H55" s="76"/>
      <c r="I55" s="77"/>
      <c r="J55" s="42"/>
      <c r="K55" s="42"/>
      <c r="L55" s="42"/>
      <c r="M55" s="42"/>
      <c r="N55" s="27"/>
      <c r="O55" s="27"/>
      <c r="P55" s="27"/>
      <c r="Q55" s="77"/>
      <c r="R55" s="77"/>
      <c r="S55" s="76"/>
    </row>
    <row r="56" spans="1:19" ht="15.75">
      <c r="A56" s="27"/>
      <c r="B56" s="27"/>
      <c r="C56" s="27"/>
      <c r="D56" s="27"/>
      <c r="E56" s="27"/>
      <c r="F56" s="27"/>
      <c r="G56" s="76"/>
      <c r="H56" s="76"/>
      <c r="I56" s="76"/>
      <c r="K56" s="42"/>
      <c r="L56" s="42"/>
      <c r="M56" s="42"/>
      <c r="N56" s="27"/>
      <c r="O56" s="27"/>
      <c r="P56" s="27"/>
      <c r="Q56" s="77"/>
      <c r="R56" s="77"/>
      <c r="S56" s="76"/>
    </row>
    <row r="57" spans="1:19" ht="15.75">
      <c r="A57" s="27"/>
      <c r="B57" s="27"/>
      <c r="C57" s="27"/>
      <c r="D57" s="27"/>
      <c r="E57" s="27"/>
      <c r="F57" s="27"/>
      <c r="G57" s="76"/>
      <c r="H57" s="76"/>
      <c r="I57" s="76"/>
      <c r="K57" s="42"/>
      <c r="L57" s="42"/>
      <c r="M57" s="42"/>
      <c r="N57" s="27"/>
      <c r="O57" s="27"/>
      <c r="P57" s="27"/>
      <c r="Q57" s="77"/>
      <c r="R57" s="77"/>
      <c r="S57" s="76"/>
    </row>
    <row r="58" spans="1:19" ht="15.75">
      <c r="A58" s="27"/>
      <c r="B58" s="27"/>
      <c r="C58" s="27"/>
      <c r="D58" s="27"/>
      <c r="E58" s="27"/>
      <c r="F58" s="27"/>
      <c r="G58" s="76"/>
      <c r="H58" s="76"/>
      <c r="I58" s="76"/>
      <c r="K58" s="42"/>
      <c r="L58" s="42"/>
      <c r="M58" s="42"/>
      <c r="N58" s="27"/>
      <c r="O58" s="27"/>
      <c r="P58" s="27"/>
      <c r="Q58" s="77"/>
      <c r="R58" s="77"/>
      <c r="S58" s="76"/>
    </row>
    <row r="59" spans="1:19" ht="15.75">
      <c r="A59" s="27"/>
      <c r="B59" s="27"/>
      <c r="C59" s="27"/>
      <c r="D59" s="27"/>
      <c r="E59" s="27"/>
      <c r="F59" s="27"/>
      <c r="G59" s="76"/>
      <c r="H59" s="76"/>
      <c r="I59" s="76"/>
      <c r="K59" s="42"/>
      <c r="L59" s="42"/>
      <c r="M59" s="42"/>
      <c r="N59" s="27"/>
      <c r="O59" s="27"/>
      <c r="P59" s="27"/>
      <c r="Q59" s="77"/>
      <c r="R59" s="77"/>
      <c r="S59" s="76"/>
    </row>
    <row r="60" spans="1:19" ht="15.75" hidden="1">
      <c r="A60" s="27"/>
      <c r="B60" s="27"/>
      <c r="C60" s="27"/>
      <c r="D60" s="27"/>
      <c r="E60" s="27"/>
      <c r="F60" s="27"/>
      <c r="G60" s="76"/>
      <c r="H60" s="76"/>
      <c r="I60" s="76"/>
      <c r="K60" s="42"/>
      <c r="L60" s="42"/>
      <c r="M60" s="42"/>
      <c r="N60" s="27"/>
      <c r="O60" s="27"/>
      <c r="P60" s="27"/>
      <c r="Q60" s="77"/>
      <c r="R60" s="77"/>
      <c r="S60" s="76"/>
    </row>
    <row r="61" spans="1:19" ht="15.75" hidden="1">
      <c r="A61" s="27"/>
      <c r="B61" s="27"/>
      <c r="C61" s="27"/>
      <c r="D61" s="27"/>
      <c r="E61" s="27"/>
      <c r="F61" s="27"/>
      <c r="G61" s="76"/>
      <c r="H61" s="76"/>
      <c r="I61" s="76"/>
      <c r="K61" s="42"/>
      <c r="L61" s="42"/>
      <c r="M61" s="42"/>
      <c r="N61" s="27"/>
      <c r="O61" s="27"/>
      <c r="P61" s="27"/>
      <c r="Q61" s="77"/>
      <c r="R61" s="77"/>
      <c r="S61" s="76"/>
    </row>
    <row r="62" spans="1:19" ht="15.75" hidden="1">
      <c r="A62" s="27"/>
      <c r="B62" s="27"/>
      <c r="C62" s="27"/>
      <c r="D62" s="27"/>
      <c r="E62" s="27"/>
      <c r="F62" s="27"/>
      <c r="G62" s="76"/>
      <c r="H62" s="76"/>
      <c r="I62" s="76"/>
      <c r="K62" s="42"/>
      <c r="L62" s="42"/>
      <c r="M62" s="42"/>
      <c r="N62" s="27"/>
      <c r="O62" s="27"/>
      <c r="P62" s="27"/>
      <c r="Q62" s="77"/>
      <c r="R62" s="77"/>
      <c r="S62" s="76"/>
    </row>
    <row r="63" spans="1:19" ht="15.75" hidden="1">
      <c r="A63" s="27"/>
      <c r="B63" s="27"/>
      <c r="C63" s="27"/>
      <c r="D63" s="27"/>
      <c r="E63" s="27"/>
      <c r="F63" s="27"/>
      <c r="G63" s="76"/>
      <c r="H63" s="76"/>
      <c r="I63" s="76"/>
      <c r="K63" s="42"/>
      <c r="L63" s="42"/>
      <c r="M63" s="42"/>
      <c r="N63" s="27"/>
      <c r="O63" s="27"/>
      <c r="P63" s="27"/>
      <c r="Q63" s="77"/>
      <c r="R63" s="77"/>
      <c r="S63" s="76"/>
    </row>
    <row r="64" spans="1:19" ht="15.75" hidden="1">
      <c r="A64" s="27"/>
      <c r="B64" s="27"/>
      <c r="C64" s="27"/>
      <c r="D64" s="27"/>
      <c r="E64" s="27"/>
      <c r="F64" s="27"/>
      <c r="G64" s="76"/>
      <c r="H64" s="76"/>
      <c r="I64" s="76"/>
      <c r="K64" s="42"/>
      <c r="L64" s="42"/>
      <c r="M64" s="42"/>
      <c r="N64" s="27"/>
      <c r="O64" s="27"/>
      <c r="P64" s="27"/>
      <c r="Q64" s="77"/>
      <c r="R64" s="77"/>
      <c r="S64" s="76"/>
    </row>
    <row r="65" spans="1:19" ht="15.75" hidden="1">
      <c r="A65" s="27"/>
      <c r="B65" s="27"/>
      <c r="C65" s="27"/>
      <c r="D65" s="27"/>
      <c r="E65" s="27"/>
      <c r="F65" s="27"/>
      <c r="G65" s="76"/>
      <c r="H65" s="76"/>
      <c r="I65" s="76"/>
      <c r="K65" s="42"/>
      <c r="L65" s="42"/>
      <c r="M65" s="42"/>
      <c r="N65" s="27"/>
      <c r="O65" s="27"/>
      <c r="P65" s="27"/>
      <c r="Q65" s="77"/>
      <c r="R65" s="77"/>
      <c r="S65" s="76"/>
    </row>
    <row r="66" spans="1:19" ht="15.75" hidden="1">
      <c r="A66" s="27"/>
      <c r="B66" s="27"/>
      <c r="C66" s="27"/>
      <c r="D66" s="27"/>
      <c r="E66" s="27"/>
      <c r="F66" s="27"/>
      <c r="G66" s="76"/>
      <c r="H66" s="76"/>
      <c r="I66" s="76"/>
      <c r="K66" s="42"/>
      <c r="L66" s="42"/>
      <c r="M66" s="42"/>
      <c r="N66" s="27"/>
      <c r="O66" s="27"/>
      <c r="P66" s="27"/>
      <c r="Q66" s="77"/>
      <c r="R66" s="77"/>
      <c r="S66" s="76"/>
    </row>
    <row r="67" spans="1:19" ht="15.75" hidden="1">
      <c r="A67" s="27"/>
      <c r="B67" s="27"/>
      <c r="C67" s="27"/>
      <c r="D67" s="27"/>
      <c r="E67" s="27"/>
      <c r="F67" s="27"/>
      <c r="G67" s="76"/>
      <c r="H67" s="76"/>
      <c r="I67" s="76"/>
      <c r="K67" s="42"/>
      <c r="L67" s="42"/>
      <c r="M67" s="42"/>
      <c r="N67" s="27"/>
      <c r="O67" s="27"/>
      <c r="P67" s="27"/>
      <c r="Q67" s="77"/>
      <c r="R67" s="77"/>
      <c r="S67" s="76"/>
    </row>
    <row r="68" spans="1:19" ht="15.75" hidden="1">
      <c r="A68" s="42"/>
      <c r="B68" s="42"/>
      <c r="C68" s="42"/>
      <c r="D68" s="42"/>
      <c r="E68" s="42"/>
      <c r="F68" s="42"/>
      <c r="G68" s="42"/>
      <c r="H68" s="42"/>
      <c r="I68" s="42"/>
      <c r="K68" s="42"/>
      <c r="L68" s="42"/>
      <c r="M68" s="42"/>
      <c r="N68" s="42"/>
      <c r="O68" s="42"/>
      <c r="P68" s="42"/>
      <c r="Q68" s="77"/>
      <c r="R68" s="77"/>
      <c r="S68" s="77"/>
    </row>
    <row r="69" spans="1:19" ht="15.75" hidden="1">
      <c r="A69" s="42"/>
      <c r="B69" s="42"/>
      <c r="C69" s="42"/>
      <c r="D69" s="42"/>
      <c r="E69" s="42"/>
      <c r="F69" s="42"/>
      <c r="G69" s="42"/>
      <c r="H69" s="42"/>
      <c r="I69" s="42"/>
      <c r="K69" s="42"/>
      <c r="L69" s="42"/>
      <c r="M69" s="42"/>
      <c r="N69" s="42"/>
      <c r="O69" s="42"/>
      <c r="P69" s="42"/>
      <c r="Q69" s="77"/>
      <c r="R69" s="77"/>
      <c r="S69" s="77"/>
    </row>
    <row r="70" spans="1:19" ht="15.75" hidden="1">
      <c r="A70" s="42"/>
      <c r="B70" s="42"/>
      <c r="C70" s="42"/>
      <c r="D70" s="42"/>
      <c r="E70" s="42"/>
      <c r="F70" s="42"/>
      <c r="G70" s="42"/>
      <c r="H70" s="42"/>
      <c r="I70" s="42"/>
      <c r="K70" s="42"/>
      <c r="L70" s="42"/>
      <c r="M70" s="42"/>
      <c r="N70" s="42"/>
      <c r="O70" s="42"/>
      <c r="P70" s="42"/>
      <c r="Q70" s="77"/>
      <c r="R70" s="77"/>
      <c r="S70" s="77"/>
    </row>
    <row r="71" spans="1:19" ht="15.75" hidden="1">
      <c r="A71" s="42"/>
      <c r="B71" s="42"/>
      <c r="C71" s="42"/>
      <c r="D71" s="42"/>
      <c r="E71" s="42"/>
      <c r="F71" s="42"/>
      <c r="G71" s="42"/>
      <c r="H71" s="42"/>
      <c r="I71" s="42"/>
      <c r="K71" s="42"/>
      <c r="L71" s="42"/>
      <c r="M71" s="42"/>
      <c r="N71" s="42"/>
      <c r="O71" s="42"/>
      <c r="P71" s="42"/>
      <c r="Q71" s="77"/>
      <c r="R71" s="77"/>
      <c r="S71" s="77"/>
    </row>
    <row r="72" spans="1:19" ht="15.75" hidden="1">
      <c r="A72" s="42"/>
      <c r="B72" s="42"/>
      <c r="C72" s="42"/>
      <c r="D72" s="42"/>
      <c r="E72" s="42"/>
      <c r="F72" s="42"/>
      <c r="G72" s="42"/>
      <c r="H72" s="42"/>
      <c r="I72" s="42"/>
      <c r="K72" s="42"/>
      <c r="L72" s="42"/>
      <c r="M72" s="42"/>
      <c r="N72" s="42"/>
      <c r="O72" s="42"/>
      <c r="P72" s="42"/>
      <c r="Q72" s="77"/>
      <c r="R72" s="77"/>
      <c r="S72" s="77"/>
    </row>
    <row r="73" spans="1:15" ht="15.75" hidden="1">
      <c r="A73" s="42"/>
      <c r="B73" s="42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 hidden="1">
      <c r="A74" s="42"/>
      <c r="B74" s="42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 hidden="1">
      <c r="A75" s="42"/>
      <c r="B75" s="42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 hidden="1">
      <c r="A76" s="42"/>
      <c r="B76" s="42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 hidden="1">
      <c r="A77" s="42"/>
      <c r="B77" s="42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 hidden="1">
      <c r="A78" s="42"/>
      <c r="B78" s="42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 hidden="1">
      <c r="A79" s="42"/>
      <c r="B79" s="42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 hidden="1">
      <c r="A80" s="42"/>
      <c r="B80" s="42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 hidden="1">
      <c r="A81" s="42"/>
      <c r="B81" s="42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 hidden="1">
      <c r="A82" s="42"/>
      <c r="B82" s="42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 hidden="1">
      <c r="A83" s="42"/>
      <c r="B83" s="42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hidden="1">
      <c r="A84" s="42"/>
      <c r="B84" s="42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 hidden="1">
      <c r="A85" s="42"/>
      <c r="B85" s="42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 hidden="1">
      <c r="A86" s="42"/>
      <c r="B86" s="42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hidden="1">
      <c r="A87" s="42"/>
      <c r="B87" s="42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hidden="1">
      <c r="A88" s="42"/>
      <c r="B88" s="42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 hidden="1">
      <c r="A89" s="42"/>
      <c r="B89" s="42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hidden="1">
      <c r="A90" s="42"/>
      <c r="B90" s="42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>
      <c r="A91" s="42"/>
      <c r="B91" s="42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9" ht="15.75">
      <c r="A92" s="42"/>
      <c r="B92" s="42"/>
      <c r="C92" s="42"/>
      <c r="D92" s="42"/>
      <c r="E92" s="42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42"/>
      <c r="Q92" s="77"/>
      <c r="R92" s="77"/>
      <c r="S92" s="77"/>
    </row>
    <row r="93" spans="1:19" ht="15.75">
      <c r="A93" s="42"/>
      <c r="B93" s="42"/>
      <c r="C93" s="42"/>
      <c r="D93" s="42"/>
      <c r="E93" s="42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2"/>
      <c r="Q93" s="77"/>
      <c r="R93" s="77"/>
      <c r="S93" s="77"/>
    </row>
    <row r="94" spans="1:19" ht="15.75">
      <c r="A94" s="42"/>
      <c r="B94" s="42"/>
      <c r="C94" s="42"/>
      <c r="D94" s="42"/>
      <c r="E94" s="42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42"/>
      <c r="Q94" s="77"/>
      <c r="R94" s="77"/>
      <c r="S94" s="77"/>
    </row>
    <row r="95" spans="1:19" ht="15.75" hidden="1">
      <c r="A95" s="42"/>
      <c r="B95" s="42"/>
      <c r="C95" s="42"/>
      <c r="D95" s="42"/>
      <c r="E95" s="42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2"/>
      <c r="Q95" s="77"/>
      <c r="R95" s="77"/>
      <c r="S95" s="77"/>
    </row>
    <row r="96" spans="1:19" ht="15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77"/>
      <c r="R96" s="77"/>
      <c r="S96" s="77"/>
    </row>
    <row r="97" spans="1:19" ht="15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42"/>
      <c r="M97" s="42"/>
      <c r="N97" s="27"/>
      <c r="O97" s="42"/>
      <c r="P97" s="42"/>
      <c r="Q97" s="77"/>
      <c r="R97" s="77"/>
      <c r="S97" s="77"/>
    </row>
    <row r="98" spans="1:19" ht="15.75" hidden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42"/>
      <c r="L98" s="42"/>
      <c r="M98" s="42"/>
      <c r="N98" s="42"/>
      <c r="O98" s="42"/>
      <c r="P98" s="42"/>
      <c r="Q98" s="77"/>
      <c r="R98" s="77"/>
      <c r="S98" s="77"/>
    </row>
    <row r="99" spans="1:19" ht="15.75">
      <c r="A99" s="27"/>
      <c r="B99" s="27"/>
      <c r="C99" s="27"/>
      <c r="D99" s="27"/>
      <c r="E99" s="27"/>
      <c r="F99" s="27"/>
      <c r="G99" s="27"/>
      <c r="H99" s="78"/>
      <c r="I99" s="78"/>
      <c r="J99" s="27"/>
      <c r="K99" s="27"/>
      <c r="L99" s="27"/>
      <c r="M99" s="27"/>
      <c r="N99" s="27"/>
      <c r="O99" s="27"/>
      <c r="P99" s="27"/>
      <c r="Q99" s="77"/>
      <c r="R99" s="77"/>
      <c r="S99" s="77"/>
    </row>
    <row r="100" spans="1:19" ht="15.75">
      <c r="A100" s="42"/>
      <c r="B100" s="42"/>
      <c r="C100" s="42"/>
      <c r="D100" s="42"/>
      <c r="E100" s="42"/>
      <c r="F100" s="42"/>
      <c r="G100" s="77"/>
      <c r="H100" s="76"/>
      <c r="I100" s="76"/>
      <c r="J100" s="42"/>
      <c r="K100" s="42"/>
      <c r="L100" s="42"/>
      <c r="M100" s="42"/>
      <c r="N100" s="27"/>
      <c r="O100" s="42"/>
      <c r="P100" s="42"/>
      <c r="Q100" s="76"/>
      <c r="R100" s="77"/>
      <c r="S100" s="76"/>
    </row>
    <row r="101" spans="1:19" ht="15.75">
      <c r="A101" s="42"/>
      <c r="B101" s="42"/>
      <c r="C101" s="42"/>
      <c r="D101" s="42"/>
      <c r="E101" s="42"/>
      <c r="F101" s="42"/>
      <c r="G101" s="77"/>
      <c r="H101" s="77"/>
      <c r="I101" s="76"/>
      <c r="J101" s="42"/>
      <c r="K101" s="27"/>
      <c r="L101" s="27"/>
      <c r="M101" s="27"/>
      <c r="N101" s="27"/>
      <c r="O101" s="42"/>
      <c r="P101" s="42"/>
      <c r="Q101" s="77"/>
      <c r="R101" s="77"/>
      <c r="S101" s="76"/>
    </row>
    <row r="102" spans="1:19" ht="15.75">
      <c r="A102" s="42"/>
      <c r="B102" s="42"/>
      <c r="C102" s="42"/>
      <c r="D102" s="58"/>
      <c r="E102" s="42"/>
      <c r="F102" s="42"/>
      <c r="G102" s="77"/>
      <c r="H102" s="77"/>
      <c r="I102" s="76"/>
      <c r="J102" s="42"/>
      <c r="K102" s="27"/>
      <c r="L102" s="27"/>
      <c r="M102" s="27"/>
      <c r="N102" s="27"/>
      <c r="O102" s="58"/>
      <c r="P102" s="42"/>
      <c r="Q102" s="77"/>
      <c r="R102" s="77"/>
      <c r="S102" s="76"/>
    </row>
    <row r="103" spans="1:19" ht="15.75">
      <c r="A103" s="42"/>
      <c r="B103" s="42"/>
      <c r="C103" s="42"/>
      <c r="D103" s="58"/>
      <c r="E103" s="42"/>
      <c r="F103" s="42"/>
      <c r="G103" s="77"/>
      <c r="H103" s="77"/>
      <c r="I103" s="76"/>
      <c r="J103" s="42"/>
      <c r="K103" s="27"/>
      <c r="L103" s="27"/>
      <c r="M103" s="27"/>
      <c r="N103" s="27"/>
      <c r="O103" s="58"/>
      <c r="P103" s="42"/>
      <c r="Q103" s="77"/>
      <c r="R103" s="77"/>
      <c r="S103" s="76"/>
    </row>
    <row r="104" spans="1:19" ht="15.75">
      <c r="A104" s="42"/>
      <c r="B104" s="42"/>
      <c r="C104" s="42"/>
      <c r="D104" s="58"/>
      <c r="E104" s="42"/>
      <c r="F104" s="42"/>
      <c r="G104" s="77"/>
      <c r="H104" s="77"/>
      <c r="I104" s="76"/>
      <c r="J104" s="42"/>
      <c r="K104" s="27"/>
      <c r="L104" s="27"/>
      <c r="M104" s="27"/>
      <c r="N104" s="27"/>
      <c r="O104" s="58"/>
      <c r="P104" s="42"/>
      <c r="Q104" s="79"/>
      <c r="R104" s="77"/>
      <c r="S104" s="76"/>
    </row>
    <row r="105" spans="1:19" ht="15.75">
      <c r="A105" s="42"/>
      <c r="B105" s="42"/>
      <c r="C105" s="42"/>
      <c r="D105" s="58"/>
      <c r="E105" s="42"/>
      <c r="F105" s="42"/>
      <c r="G105" s="77"/>
      <c r="H105" s="77"/>
      <c r="I105" s="76"/>
      <c r="J105" s="42"/>
      <c r="K105" s="27"/>
      <c r="L105" s="27"/>
      <c r="M105" s="27"/>
      <c r="N105" s="27"/>
      <c r="O105" s="58"/>
      <c r="P105" s="42"/>
      <c r="Q105" s="77"/>
      <c r="R105" s="77"/>
      <c r="S105" s="76"/>
    </row>
    <row r="106" spans="1:19" ht="15.75">
      <c r="A106" s="42"/>
      <c r="B106" s="42"/>
      <c r="C106" s="42"/>
      <c r="D106" s="58"/>
      <c r="E106" s="42"/>
      <c r="F106" s="42"/>
      <c r="G106" s="77"/>
      <c r="H106" s="77"/>
      <c r="I106" s="76"/>
      <c r="J106" s="42"/>
      <c r="K106" s="27"/>
      <c r="L106" s="27"/>
      <c r="M106" s="27"/>
      <c r="N106" s="27"/>
      <c r="O106" s="58"/>
      <c r="P106" s="42"/>
      <c r="Q106" s="77"/>
      <c r="R106" s="77"/>
      <c r="S106" s="76"/>
    </row>
    <row r="107" spans="1:19" ht="15.75">
      <c r="A107" s="42"/>
      <c r="B107" s="42"/>
      <c r="C107" s="42"/>
      <c r="D107" s="58"/>
      <c r="E107" s="42"/>
      <c r="F107" s="42"/>
      <c r="G107" s="77"/>
      <c r="H107" s="77"/>
      <c r="I107" s="76"/>
      <c r="J107" s="42"/>
      <c r="K107" s="27"/>
      <c r="L107" s="27"/>
      <c r="M107" s="27"/>
      <c r="N107" s="27"/>
      <c r="O107" s="58"/>
      <c r="P107" s="42"/>
      <c r="Q107" s="77"/>
      <c r="R107" s="77"/>
      <c r="S107" s="76"/>
    </row>
    <row r="108" spans="1:19" ht="15.75" hidden="1">
      <c r="A108" s="42"/>
      <c r="B108" s="42"/>
      <c r="C108" s="42"/>
      <c r="D108" s="58"/>
      <c r="E108" s="42"/>
      <c r="F108" s="42"/>
      <c r="G108" s="77"/>
      <c r="H108" s="77"/>
      <c r="I108" s="76"/>
      <c r="J108" s="42"/>
      <c r="K108" s="27"/>
      <c r="L108" s="27"/>
      <c r="M108" s="27"/>
      <c r="N108" s="27"/>
      <c r="O108" s="58"/>
      <c r="P108" s="27"/>
      <c r="Q108" s="77"/>
      <c r="R108" s="77"/>
      <c r="S108" s="76"/>
    </row>
    <row r="109" spans="1:19" ht="15.75" hidden="1">
      <c r="A109" s="42"/>
      <c r="B109" s="42"/>
      <c r="C109" s="42"/>
      <c r="D109" s="58"/>
      <c r="E109" s="42"/>
      <c r="F109" s="42"/>
      <c r="G109" s="77"/>
      <c r="H109" s="77"/>
      <c r="I109" s="76"/>
      <c r="J109" s="42"/>
      <c r="K109" s="27"/>
      <c r="L109" s="27"/>
      <c r="M109" s="27"/>
      <c r="N109" s="27"/>
      <c r="O109" s="58"/>
      <c r="P109" s="27"/>
      <c r="Q109" s="77"/>
      <c r="R109" s="77"/>
      <c r="S109" s="76"/>
    </row>
    <row r="110" spans="1:19" ht="15.75">
      <c r="A110" s="42"/>
      <c r="B110" s="42"/>
      <c r="C110" s="42"/>
      <c r="D110" s="58"/>
      <c r="E110" s="42"/>
      <c r="F110" s="42"/>
      <c r="G110" s="77"/>
      <c r="H110" s="77"/>
      <c r="I110" s="76"/>
      <c r="J110" s="42"/>
      <c r="K110" s="27"/>
      <c r="L110" s="27"/>
      <c r="M110" s="27"/>
      <c r="N110" s="27"/>
      <c r="O110" s="42"/>
      <c r="P110" s="27"/>
      <c r="Q110" s="77"/>
      <c r="R110" s="77"/>
      <c r="S110" s="76"/>
    </row>
    <row r="111" spans="1:19" ht="15.75">
      <c r="A111" s="27"/>
      <c r="B111" s="42"/>
      <c r="C111" s="27"/>
      <c r="D111" s="61"/>
      <c r="E111" s="27"/>
      <c r="F111" s="27"/>
      <c r="G111" s="76"/>
      <c r="H111" s="76"/>
      <c r="I111" s="76"/>
      <c r="J111" s="42"/>
      <c r="K111" s="27"/>
      <c r="L111" s="27"/>
      <c r="M111" s="27"/>
      <c r="N111" s="27"/>
      <c r="O111" s="27"/>
      <c r="P111" s="27"/>
      <c r="Q111" s="76"/>
      <c r="R111" s="77"/>
      <c r="S111" s="76"/>
    </row>
    <row r="112" spans="1:19" ht="15.75">
      <c r="A112" s="27"/>
      <c r="B112" s="42"/>
      <c r="C112" s="27"/>
      <c r="D112" s="58"/>
      <c r="E112" s="27"/>
      <c r="F112" s="27"/>
      <c r="G112" s="76"/>
      <c r="H112" s="76"/>
      <c r="I112" s="76"/>
      <c r="J112" s="42"/>
      <c r="K112" s="27"/>
      <c r="L112" s="27"/>
      <c r="M112" s="27"/>
      <c r="N112" s="27"/>
      <c r="O112" s="58"/>
      <c r="P112" s="27"/>
      <c r="Q112" s="77"/>
      <c r="R112" s="77"/>
      <c r="S112" s="76"/>
    </row>
    <row r="113" spans="1:19" ht="15.75">
      <c r="A113" s="27"/>
      <c r="B113" s="42"/>
      <c r="C113" s="27"/>
      <c r="D113" s="58"/>
      <c r="E113" s="27"/>
      <c r="F113" s="27"/>
      <c r="G113" s="77"/>
      <c r="H113" s="76"/>
      <c r="I113" s="76"/>
      <c r="J113" s="42"/>
      <c r="K113" s="27"/>
      <c r="L113" s="27"/>
      <c r="M113" s="27"/>
      <c r="N113" s="27"/>
      <c r="O113" s="58"/>
      <c r="P113" s="27"/>
      <c r="Q113" s="77"/>
      <c r="R113" s="77"/>
      <c r="S113" s="76"/>
    </row>
    <row r="114" spans="1:19" ht="15.75">
      <c r="A114" s="27"/>
      <c r="B114" s="42"/>
      <c r="C114" s="27"/>
      <c r="D114" s="58"/>
      <c r="E114" s="27"/>
      <c r="F114" s="27"/>
      <c r="G114" s="77"/>
      <c r="H114" s="76"/>
      <c r="I114" s="76"/>
      <c r="J114" s="42"/>
      <c r="K114" s="27"/>
      <c r="L114" s="27"/>
      <c r="M114" s="27"/>
      <c r="N114" s="27"/>
      <c r="O114" s="58"/>
      <c r="P114" s="42"/>
      <c r="Q114" s="77"/>
      <c r="R114" s="77"/>
      <c r="S114" s="76"/>
    </row>
    <row r="115" spans="1:19" ht="15.75">
      <c r="A115" s="27"/>
      <c r="B115" s="42"/>
      <c r="C115" s="27"/>
      <c r="D115" s="58"/>
      <c r="E115" s="27"/>
      <c r="F115" s="27"/>
      <c r="G115" s="77"/>
      <c r="H115" s="76"/>
      <c r="I115" s="76"/>
      <c r="J115" s="42"/>
      <c r="K115" s="27"/>
      <c r="L115" s="27"/>
      <c r="M115" s="27"/>
      <c r="N115" s="27"/>
      <c r="O115" s="27"/>
      <c r="P115" s="42"/>
      <c r="Q115" s="77"/>
      <c r="R115" s="77"/>
      <c r="S115" s="76"/>
    </row>
    <row r="116" spans="1:19" ht="15.75" hidden="1">
      <c r="A116" s="27"/>
      <c r="B116" s="42"/>
      <c r="C116" s="27"/>
      <c r="D116" s="58"/>
      <c r="E116" s="27"/>
      <c r="F116" s="27"/>
      <c r="G116" s="76"/>
      <c r="H116" s="76"/>
      <c r="I116" s="76"/>
      <c r="J116" s="42"/>
      <c r="K116" s="27"/>
      <c r="L116" s="27"/>
      <c r="M116" s="27"/>
      <c r="N116" s="27"/>
      <c r="O116" s="27"/>
      <c r="P116" s="27"/>
      <c r="Q116" s="76"/>
      <c r="R116" s="77"/>
      <c r="S116" s="76"/>
    </row>
    <row r="117" spans="1:19" ht="15.75">
      <c r="A117" s="27"/>
      <c r="B117" s="27"/>
      <c r="C117" s="27"/>
      <c r="D117" s="27"/>
      <c r="E117" s="27"/>
      <c r="F117" s="27"/>
      <c r="G117" s="77"/>
      <c r="H117" s="77"/>
      <c r="I117" s="76"/>
      <c r="J117" s="42"/>
      <c r="K117" s="27"/>
      <c r="L117" s="27"/>
      <c r="M117" s="27"/>
      <c r="N117" s="27"/>
      <c r="O117" s="27"/>
      <c r="P117" s="42"/>
      <c r="Q117" s="77"/>
      <c r="R117" s="77"/>
      <c r="S117" s="76"/>
    </row>
    <row r="118" spans="1:19" ht="15.75">
      <c r="A118" s="42"/>
      <c r="B118" s="42"/>
      <c r="C118" s="42"/>
      <c r="D118" s="42"/>
      <c r="E118" s="42"/>
      <c r="F118" s="42"/>
      <c r="G118" s="77"/>
      <c r="H118" s="77"/>
      <c r="I118" s="76"/>
      <c r="J118" s="42"/>
      <c r="K118" s="27"/>
      <c r="L118" s="27"/>
      <c r="M118" s="27"/>
      <c r="N118" s="27"/>
      <c r="O118" s="42"/>
      <c r="P118" s="42"/>
      <c r="Q118" s="76"/>
      <c r="R118" s="77"/>
      <c r="S118" s="76"/>
    </row>
    <row r="119" spans="1:19" ht="15.75" hidden="1">
      <c r="A119" s="42"/>
      <c r="B119" s="42"/>
      <c r="C119" s="42"/>
      <c r="D119" s="42"/>
      <c r="E119" s="42"/>
      <c r="F119" s="42"/>
      <c r="G119" s="77"/>
      <c r="H119" s="77"/>
      <c r="I119" s="76"/>
      <c r="J119" s="42"/>
      <c r="K119" s="27"/>
      <c r="L119" s="27"/>
      <c r="M119" s="27"/>
      <c r="N119" s="27"/>
      <c r="O119" s="27"/>
      <c r="P119" s="42"/>
      <c r="Q119" s="76"/>
      <c r="R119" s="77"/>
      <c r="S119" s="76"/>
    </row>
    <row r="120" spans="1:19" ht="15.75" hidden="1">
      <c r="A120" s="42"/>
      <c r="B120" s="42"/>
      <c r="C120" s="42"/>
      <c r="D120" s="42"/>
      <c r="E120" s="42"/>
      <c r="F120" s="42"/>
      <c r="G120" s="77"/>
      <c r="H120" s="77"/>
      <c r="I120" s="76"/>
      <c r="J120" s="42"/>
      <c r="K120" s="27"/>
      <c r="L120" s="27"/>
      <c r="M120" s="27"/>
      <c r="N120" s="27"/>
      <c r="O120" s="27"/>
      <c r="P120" s="42"/>
      <c r="Q120" s="76"/>
      <c r="R120" s="77"/>
      <c r="S120" s="76"/>
    </row>
    <row r="121" spans="1:19" ht="15.75" hidden="1">
      <c r="A121" s="42"/>
      <c r="B121" s="42"/>
      <c r="C121" s="42"/>
      <c r="D121" s="42"/>
      <c r="E121" s="42"/>
      <c r="F121" s="42"/>
      <c r="G121" s="77"/>
      <c r="H121" s="77"/>
      <c r="I121" s="77"/>
      <c r="J121" s="42"/>
      <c r="K121" s="42"/>
      <c r="L121" s="42"/>
      <c r="M121" s="42"/>
      <c r="N121" s="42"/>
      <c r="O121" s="42"/>
      <c r="P121" s="42"/>
      <c r="Q121" s="77"/>
      <c r="R121" s="77"/>
      <c r="S121" s="77"/>
    </row>
    <row r="122" spans="1:19" ht="15.75" hidden="1">
      <c r="A122" s="42"/>
      <c r="B122" s="42"/>
      <c r="C122" s="42"/>
      <c r="D122" s="42"/>
      <c r="E122" s="42"/>
      <c r="F122" s="42"/>
      <c r="G122" s="77"/>
      <c r="H122" s="77"/>
      <c r="I122" s="77"/>
      <c r="J122" s="42"/>
      <c r="K122" s="42"/>
      <c r="L122" s="42"/>
      <c r="M122" s="42"/>
      <c r="N122" s="42"/>
      <c r="O122" s="42"/>
      <c r="P122" s="42"/>
      <c r="Q122" s="77"/>
      <c r="R122" s="77"/>
      <c r="S122" s="77"/>
    </row>
    <row r="123" spans="1:19" ht="15.75" hidden="1">
      <c r="A123" s="42"/>
      <c r="B123" s="42"/>
      <c r="C123" s="42"/>
      <c r="D123" s="42"/>
      <c r="E123" s="42"/>
      <c r="F123" s="42"/>
      <c r="G123" s="77"/>
      <c r="H123" s="77"/>
      <c r="I123" s="77"/>
      <c r="J123" s="42"/>
      <c r="K123" s="42"/>
      <c r="L123" s="42"/>
      <c r="M123" s="42"/>
      <c r="N123" s="42"/>
      <c r="O123" s="42"/>
      <c r="P123" s="42"/>
      <c r="Q123" s="77"/>
      <c r="R123" s="77"/>
      <c r="S123" s="77"/>
    </row>
    <row r="124" spans="1:19" ht="15.75" hidden="1">
      <c r="A124" s="42"/>
      <c r="B124" s="42"/>
      <c r="C124" s="42"/>
      <c r="D124" s="42"/>
      <c r="E124" s="42"/>
      <c r="F124" s="42"/>
      <c r="G124" s="77"/>
      <c r="H124" s="77"/>
      <c r="I124" s="77"/>
      <c r="J124" s="42"/>
      <c r="K124" s="42"/>
      <c r="L124" s="42"/>
      <c r="M124" s="42"/>
      <c r="N124" s="42"/>
      <c r="O124" s="42"/>
      <c r="P124" s="42"/>
      <c r="Q124" s="77"/>
      <c r="R124" s="77"/>
      <c r="S124" s="77"/>
    </row>
    <row r="125" spans="1:19" ht="15.75" hidden="1">
      <c r="A125" s="42"/>
      <c r="B125" s="42"/>
      <c r="C125" s="42"/>
      <c r="D125" s="58"/>
      <c r="E125" s="42"/>
      <c r="F125" s="42"/>
      <c r="G125" s="77"/>
      <c r="H125" s="77"/>
      <c r="I125" s="77"/>
      <c r="J125" s="42"/>
      <c r="K125" s="42"/>
      <c r="L125" s="42"/>
      <c r="M125" s="42"/>
      <c r="N125" s="42"/>
      <c r="O125" s="58"/>
      <c r="P125" s="42"/>
      <c r="Q125" s="77"/>
      <c r="R125" s="77"/>
      <c r="S125" s="77"/>
    </row>
    <row r="126" spans="1:19" ht="15.75" hidden="1">
      <c r="A126" s="42"/>
      <c r="B126" s="42"/>
      <c r="C126" s="42"/>
      <c r="D126" s="42"/>
      <c r="E126" s="42"/>
      <c r="F126" s="42"/>
      <c r="G126" s="77"/>
      <c r="H126" s="77"/>
      <c r="I126" s="77"/>
      <c r="J126" s="42"/>
      <c r="K126" s="42"/>
      <c r="L126" s="42"/>
      <c r="M126" s="42"/>
      <c r="N126" s="42"/>
      <c r="O126" s="58"/>
      <c r="P126" s="42"/>
      <c r="Q126" s="77"/>
      <c r="R126" s="77"/>
      <c r="S126" s="77"/>
    </row>
    <row r="127" spans="1:19" ht="15.75" hidden="1">
      <c r="A127" s="42"/>
      <c r="B127" s="42"/>
      <c r="C127" s="42"/>
      <c r="D127" s="42"/>
      <c r="E127" s="42"/>
      <c r="F127" s="42"/>
      <c r="G127" s="77"/>
      <c r="H127" s="77"/>
      <c r="I127" s="77"/>
      <c r="J127" s="42"/>
      <c r="K127" s="42"/>
      <c r="L127" s="42"/>
      <c r="M127" s="42"/>
      <c r="N127" s="42"/>
      <c r="O127" s="58"/>
      <c r="P127" s="42"/>
      <c r="Q127" s="77"/>
      <c r="R127" s="77"/>
      <c r="S127" s="77"/>
    </row>
    <row r="128" spans="1:19" ht="15.75" hidden="1">
      <c r="A128" s="42"/>
      <c r="B128" s="42"/>
      <c r="C128" s="42"/>
      <c r="D128" s="42"/>
      <c r="E128" s="42"/>
      <c r="F128" s="42"/>
      <c r="G128" s="77"/>
      <c r="H128" s="77"/>
      <c r="I128" s="77"/>
      <c r="J128" s="42"/>
      <c r="K128" s="42"/>
      <c r="L128" s="42"/>
      <c r="M128" s="42"/>
      <c r="N128" s="42"/>
      <c r="O128" s="58"/>
      <c r="P128" s="42"/>
      <c r="Q128" s="77"/>
      <c r="R128" s="77"/>
      <c r="S128" s="77"/>
    </row>
    <row r="129" spans="1:19" ht="15.75">
      <c r="A129" s="27"/>
      <c r="B129" s="42"/>
      <c r="C129" s="27"/>
      <c r="D129" s="27"/>
      <c r="E129" s="27"/>
      <c r="F129" s="42"/>
      <c r="G129" s="77"/>
      <c r="H129" s="76"/>
      <c r="I129" s="76"/>
      <c r="J129" s="42"/>
      <c r="K129" s="42"/>
      <c r="L129" s="42"/>
      <c r="M129" s="42"/>
      <c r="N129" s="42"/>
      <c r="O129" s="58"/>
      <c r="P129" s="42"/>
      <c r="Q129" s="77"/>
      <c r="R129" s="77"/>
      <c r="S129" s="77"/>
    </row>
    <row r="130" spans="1:19" ht="15.75">
      <c r="A130" s="42"/>
      <c r="B130" s="42"/>
      <c r="C130" s="42"/>
      <c r="D130" s="42"/>
      <c r="E130" s="42"/>
      <c r="F130" s="42"/>
      <c r="G130" s="77"/>
      <c r="H130" s="77"/>
      <c r="I130" s="77"/>
      <c r="J130" s="42"/>
      <c r="K130" s="42"/>
      <c r="L130" s="42"/>
      <c r="M130" s="42"/>
      <c r="N130" s="42"/>
      <c r="O130" s="58"/>
      <c r="P130" s="42"/>
      <c r="Q130" s="77"/>
      <c r="R130" s="77"/>
      <c r="S130" s="77"/>
    </row>
    <row r="131" spans="1:19" ht="15.75">
      <c r="A131" s="27"/>
      <c r="B131" s="27"/>
      <c r="C131" s="27"/>
      <c r="D131" s="27"/>
      <c r="E131" s="27"/>
      <c r="F131" s="27"/>
      <c r="G131" s="76"/>
      <c r="H131" s="76"/>
      <c r="I131" s="76"/>
      <c r="J131" s="42"/>
      <c r="K131" s="42"/>
      <c r="L131" s="42"/>
      <c r="M131" s="42"/>
      <c r="N131" s="27"/>
      <c r="O131" s="27"/>
      <c r="P131" s="27"/>
      <c r="Q131" s="77"/>
      <c r="R131" s="77"/>
      <c r="S131" s="76"/>
    </row>
    <row r="132" spans="1:19" ht="15.75" hidden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42"/>
      <c r="M132" s="42"/>
      <c r="N132" s="27"/>
      <c r="O132" s="42"/>
      <c r="P132" s="42"/>
      <c r="Q132" s="77"/>
      <c r="R132" s="77"/>
      <c r="S132" s="77"/>
    </row>
    <row r="133" spans="1:19" ht="15.75" hidden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42"/>
      <c r="L133" s="42"/>
      <c r="M133" s="42"/>
      <c r="N133" s="42"/>
      <c r="O133" s="42"/>
      <c r="P133" s="42"/>
      <c r="Q133" s="77"/>
      <c r="R133" s="77"/>
      <c r="S133" s="77"/>
    </row>
    <row r="134" spans="1:19" ht="15.75">
      <c r="A134" s="27"/>
      <c r="B134" s="27"/>
      <c r="C134" s="27"/>
      <c r="D134" s="27"/>
      <c r="E134" s="27"/>
      <c r="F134" s="27"/>
      <c r="G134" s="27"/>
      <c r="H134" s="78"/>
      <c r="I134" s="78"/>
      <c r="J134" s="27"/>
      <c r="K134" s="27"/>
      <c r="L134" s="27"/>
      <c r="M134" s="27"/>
      <c r="N134" s="27"/>
      <c r="O134" s="27"/>
      <c r="P134" s="27"/>
      <c r="Q134" s="77"/>
      <c r="R134" s="76"/>
      <c r="S134" s="76"/>
    </row>
    <row r="135" spans="1:19" ht="15.75">
      <c r="A135" s="42"/>
      <c r="B135" s="42"/>
      <c r="C135" s="42"/>
      <c r="D135" s="42"/>
      <c r="E135" s="42"/>
      <c r="F135" s="42"/>
      <c r="G135" s="77"/>
      <c r="H135" s="77"/>
      <c r="I135" s="76"/>
      <c r="J135" s="42"/>
      <c r="K135" s="42"/>
      <c r="L135" s="42"/>
      <c r="M135" s="42"/>
      <c r="N135" s="27"/>
      <c r="O135" s="42"/>
      <c r="P135" s="42"/>
      <c r="Q135" s="77"/>
      <c r="R135" s="77"/>
      <c r="S135" s="76"/>
    </row>
    <row r="136" spans="1:19" ht="15.75" hidden="1">
      <c r="A136" s="42"/>
      <c r="B136" s="42"/>
      <c r="C136" s="42"/>
      <c r="D136" s="42"/>
      <c r="E136" s="42"/>
      <c r="F136" s="42"/>
      <c r="G136" s="77"/>
      <c r="H136" s="77"/>
      <c r="I136" s="76"/>
      <c r="J136" s="42"/>
      <c r="K136" s="27"/>
      <c r="L136" s="27"/>
      <c r="M136" s="27"/>
      <c r="N136" s="27"/>
      <c r="O136" s="42"/>
      <c r="P136" s="27"/>
      <c r="Q136" s="76"/>
      <c r="R136" s="77"/>
      <c r="S136" s="76"/>
    </row>
    <row r="137" spans="1:19" ht="15.75" hidden="1">
      <c r="A137" s="42"/>
      <c r="B137" s="42"/>
      <c r="C137" s="42"/>
      <c r="D137" s="42"/>
      <c r="E137" s="42"/>
      <c r="F137" s="42"/>
      <c r="G137" s="77"/>
      <c r="H137" s="77"/>
      <c r="I137" s="76"/>
      <c r="J137" s="42"/>
      <c r="K137" s="27"/>
      <c r="L137" s="27"/>
      <c r="M137" s="27"/>
      <c r="N137" s="27"/>
      <c r="O137" s="42"/>
      <c r="P137" s="27"/>
      <c r="Q137" s="76"/>
      <c r="R137" s="77"/>
      <c r="S137" s="76"/>
    </row>
    <row r="138" spans="1:19" ht="15.75" hidden="1">
      <c r="A138" s="42"/>
      <c r="B138" s="42"/>
      <c r="C138" s="42"/>
      <c r="D138" s="58"/>
      <c r="E138" s="42"/>
      <c r="F138" s="42"/>
      <c r="G138" s="77"/>
      <c r="H138" s="77"/>
      <c r="I138" s="76"/>
      <c r="J138" s="42"/>
      <c r="K138" s="27"/>
      <c r="L138" s="27"/>
      <c r="M138" s="27"/>
      <c r="N138" s="27"/>
      <c r="O138" s="42"/>
      <c r="P138" s="27"/>
      <c r="Q138" s="76"/>
      <c r="R138" s="77"/>
      <c r="S138" s="76"/>
    </row>
    <row r="139" spans="1:19" ht="15.75" hidden="1">
      <c r="A139" s="42"/>
      <c r="B139" s="42"/>
      <c r="C139" s="42"/>
      <c r="D139" s="58"/>
      <c r="E139" s="42"/>
      <c r="F139" s="42"/>
      <c r="G139" s="77"/>
      <c r="H139" s="77"/>
      <c r="I139" s="76"/>
      <c r="J139" s="42"/>
      <c r="K139" s="27"/>
      <c r="L139" s="27"/>
      <c r="M139" s="27"/>
      <c r="N139" s="27"/>
      <c r="O139" s="58"/>
      <c r="P139" s="27"/>
      <c r="Q139" s="76"/>
      <c r="R139" s="77"/>
      <c r="S139" s="76"/>
    </row>
    <row r="140" spans="1:19" ht="15.75" hidden="1">
      <c r="A140" s="42"/>
      <c r="B140" s="42"/>
      <c r="C140" s="42"/>
      <c r="D140" s="58"/>
      <c r="E140" s="42"/>
      <c r="F140" s="42"/>
      <c r="G140" s="77"/>
      <c r="H140" s="77"/>
      <c r="I140" s="76"/>
      <c r="J140" s="42"/>
      <c r="K140" s="27"/>
      <c r="L140" s="27"/>
      <c r="M140" s="27"/>
      <c r="N140" s="27"/>
      <c r="O140" s="58"/>
      <c r="P140" s="27"/>
      <c r="Q140" s="76"/>
      <c r="R140" s="77"/>
      <c r="S140" s="76"/>
    </row>
    <row r="141" spans="1:19" ht="15.75" hidden="1">
      <c r="A141" s="42"/>
      <c r="B141" s="42"/>
      <c r="C141" s="42"/>
      <c r="D141" s="58"/>
      <c r="E141" s="42"/>
      <c r="F141" s="42"/>
      <c r="G141" s="77"/>
      <c r="H141" s="77"/>
      <c r="I141" s="76"/>
      <c r="J141" s="42"/>
      <c r="K141" s="27"/>
      <c r="L141" s="27"/>
      <c r="M141" s="27"/>
      <c r="N141" s="27"/>
      <c r="O141" s="58"/>
      <c r="P141" s="27"/>
      <c r="Q141" s="76"/>
      <c r="R141" s="77"/>
      <c r="S141" s="76"/>
    </row>
    <row r="142" spans="1:19" ht="15.75" hidden="1">
      <c r="A142" s="42"/>
      <c r="B142" s="42"/>
      <c r="C142" s="42"/>
      <c r="D142" s="58"/>
      <c r="E142" s="42"/>
      <c r="F142" s="42"/>
      <c r="G142" s="77"/>
      <c r="H142" s="77"/>
      <c r="I142" s="76"/>
      <c r="J142" s="42"/>
      <c r="K142" s="27"/>
      <c r="L142" s="27"/>
      <c r="M142" s="27"/>
      <c r="N142" s="27"/>
      <c r="O142" s="42"/>
      <c r="P142" s="27"/>
      <c r="Q142" s="76"/>
      <c r="R142" s="77"/>
      <c r="S142" s="76"/>
    </row>
    <row r="143" spans="1:19" ht="15.75">
      <c r="A143" s="27"/>
      <c r="B143" s="42"/>
      <c r="C143" s="27"/>
      <c r="D143" s="61"/>
      <c r="E143" s="27"/>
      <c r="F143" s="27"/>
      <c r="G143" s="76"/>
      <c r="H143" s="76"/>
      <c r="I143" s="76"/>
      <c r="J143" s="42"/>
      <c r="K143" s="27"/>
      <c r="L143" s="27"/>
      <c r="M143" s="27"/>
      <c r="N143" s="27"/>
      <c r="O143" s="42"/>
      <c r="P143" s="42"/>
      <c r="Q143" s="77"/>
      <c r="R143" s="77"/>
      <c r="S143" s="76"/>
    </row>
    <row r="144" spans="1:19" ht="15.75">
      <c r="A144" s="27"/>
      <c r="B144" s="42"/>
      <c r="C144" s="27"/>
      <c r="D144" s="58"/>
      <c r="E144" s="27"/>
      <c r="F144" s="27"/>
      <c r="G144" s="76"/>
      <c r="H144" s="76"/>
      <c r="I144" s="76"/>
      <c r="J144" s="42"/>
      <c r="K144" s="27"/>
      <c r="L144" s="27"/>
      <c r="M144" s="27"/>
      <c r="N144" s="27"/>
      <c r="O144" s="58"/>
      <c r="P144" s="27"/>
      <c r="Q144" s="77"/>
      <c r="R144" s="77"/>
      <c r="S144" s="76"/>
    </row>
    <row r="145" spans="1:19" ht="15.75">
      <c r="A145" s="27"/>
      <c r="B145" s="42"/>
      <c r="C145" s="27"/>
      <c r="D145" s="58"/>
      <c r="E145" s="27"/>
      <c r="F145" s="27"/>
      <c r="G145" s="76"/>
      <c r="H145" s="76"/>
      <c r="I145" s="76"/>
      <c r="J145" s="42"/>
      <c r="K145" s="27"/>
      <c r="L145" s="27"/>
      <c r="M145" s="27"/>
      <c r="N145" s="27"/>
      <c r="O145" s="42"/>
      <c r="P145" s="27"/>
      <c r="Q145" s="77"/>
      <c r="R145" s="77"/>
      <c r="S145" s="76"/>
    </row>
    <row r="146" spans="1:19" ht="15.75">
      <c r="A146" s="27"/>
      <c r="B146" s="42"/>
      <c r="C146" s="27"/>
      <c r="D146" s="58"/>
      <c r="E146" s="27"/>
      <c r="F146" s="27"/>
      <c r="G146" s="77"/>
      <c r="H146" s="76"/>
      <c r="I146" s="76"/>
      <c r="J146" s="42"/>
      <c r="K146" s="27"/>
      <c r="L146" s="27"/>
      <c r="M146" s="27"/>
      <c r="N146" s="27"/>
      <c r="O146" s="42"/>
      <c r="P146" s="42"/>
      <c r="Q146" s="76"/>
      <c r="R146" s="77"/>
      <c r="S146" s="76"/>
    </row>
    <row r="147" spans="1:19" ht="15.75" hidden="1">
      <c r="A147" s="27"/>
      <c r="B147" s="42"/>
      <c r="C147" s="27"/>
      <c r="D147" s="58"/>
      <c r="E147" s="27"/>
      <c r="F147" s="27"/>
      <c r="G147" s="76"/>
      <c r="H147" s="76"/>
      <c r="I147" s="76"/>
      <c r="J147" s="42"/>
      <c r="K147" s="27"/>
      <c r="L147" s="27"/>
      <c r="M147" s="27"/>
      <c r="N147" s="27"/>
      <c r="O147" s="42"/>
      <c r="P147" s="42"/>
      <c r="Q147" s="76"/>
      <c r="R147" s="77"/>
      <c r="S147" s="76"/>
    </row>
    <row r="148" spans="1:19" ht="15.75">
      <c r="A148" s="27"/>
      <c r="B148" s="27"/>
      <c r="C148" s="27"/>
      <c r="D148" s="27"/>
      <c r="E148" s="27"/>
      <c r="F148" s="27"/>
      <c r="G148" s="77"/>
      <c r="H148" s="76"/>
      <c r="I148" s="76"/>
      <c r="J148" s="42"/>
      <c r="K148" s="27"/>
      <c r="L148" s="27"/>
      <c r="M148" s="27"/>
      <c r="N148" s="27"/>
      <c r="O148" s="42"/>
      <c r="P148" s="42"/>
      <c r="Q148" s="77"/>
      <c r="R148" s="77"/>
      <c r="S148" s="76"/>
    </row>
    <row r="149" spans="1:19" ht="15.75">
      <c r="A149" s="42"/>
      <c r="B149" s="42"/>
      <c r="C149" s="42"/>
      <c r="D149" s="42"/>
      <c r="E149" s="42"/>
      <c r="F149" s="42"/>
      <c r="G149" s="77"/>
      <c r="H149" s="77"/>
      <c r="I149" s="77"/>
      <c r="J149" s="42"/>
      <c r="K149" s="27"/>
      <c r="L149" s="27"/>
      <c r="M149" s="27"/>
      <c r="N149" s="42"/>
      <c r="O149" s="42"/>
      <c r="P149" s="42"/>
      <c r="Q149" s="77"/>
      <c r="R149" s="77"/>
      <c r="S149" s="76"/>
    </row>
    <row r="150" spans="1:19" ht="15.75" hidden="1">
      <c r="A150" s="42"/>
      <c r="B150" s="42"/>
      <c r="C150" s="42"/>
      <c r="D150" s="42"/>
      <c r="E150" s="42"/>
      <c r="F150" s="42"/>
      <c r="G150" s="77"/>
      <c r="H150" s="77"/>
      <c r="I150" s="76"/>
      <c r="J150" s="42"/>
      <c r="K150" s="27"/>
      <c r="L150" s="27"/>
      <c r="M150" s="27"/>
      <c r="N150" s="27"/>
      <c r="O150" s="27"/>
      <c r="P150" s="42"/>
      <c r="Q150" s="76"/>
      <c r="R150" s="77"/>
      <c r="S150" s="76"/>
    </row>
    <row r="151" spans="1:19" ht="15.75" hidden="1">
      <c r="A151" s="42"/>
      <c r="B151" s="42"/>
      <c r="C151" s="42"/>
      <c r="D151" s="42"/>
      <c r="E151" s="42"/>
      <c r="F151" s="42"/>
      <c r="G151" s="77"/>
      <c r="H151" s="77"/>
      <c r="I151" s="76"/>
      <c r="J151" s="42"/>
      <c r="K151" s="27"/>
      <c r="L151" s="27"/>
      <c r="M151" s="27"/>
      <c r="N151" s="27"/>
      <c r="O151" s="27"/>
      <c r="P151" s="42"/>
      <c r="Q151" s="76"/>
      <c r="R151" s="77"/>
      <c r="S151" s="76"/>
    </row>
    <row r="152" spans="1:19" ht="15.75" hidden="1">
      <c r="A152" s="42"/>
      <c r="B152" s="42"/>
      <c r="C152" s="42"/>
      <c r="D152" s="42"/>
      <c r="E152" s="42"/>
      <c r="F152" s="42"/>
      <c r="G152" s="77"/>
      <c r="H152" s="77"/>
      <c r="I152" s="77"/>
      <c r="J152" s="42"/>
      <c r="K152" s="42"/>
      <c r="L152" s="42"/>
      <c r="M152" s="42"/>
      <c r="N152" s="42"/>
      <c r="O152" s="42"/>
      <c r="P152" s="42"/>
      <c r="Q152" s="77"/>
      <c r="R152" s="77"/>
      <c r="S152" s="77"/>
    </row>
    <row r="153" spans="1:19" ht="15.75" hidden="1">
      <c r="A153" s="42"/>
      <c r="B153" s="42"/>
      <c r="C153" s="42"/>
      <c r="D153" s="42"/>
      <c r="E153" s="42"/>
      <c r="F153" s="42"/>
      <c r="G153" s="77"/>
      <c r="H153" s="77"/>
      <c r="I153" s="77"/>
      <c r="J153" s="42"/>
      <c r="K153" s="42"/>
      <c r="L153" s="42"/>
      <c r="M153" s="42"/>
      <c r="N153" s="42"/>
      <c r="O153" s="42"/>
      <c r="P153" s="42"/>
      <c r="Q153" s="77"/>
      <c r="R153" s="77"/>
      <c r="S153" s="77"/>
    </row>
    <row r="154" spans="1:19" ht="15.75" hidden="1">
      <c r="A154" s="42"/>
      <c r="B154" s="42"/>
      <c r="C154" s="42"/>
      <c r="D154" s="42"/>
      <c r="E154" s="42"/>
      <c r="F154" s="42"/>
      <c r="G154" s="77"/>
      <c r="H154" s="77"/>
      <c r="I154" s="77"/>
      <c r="J154" s="42"/>
      <c r="K154" s="42"/>
      <c r="L154" s="42"/>
      <c r="M154" s="42"/>
      <c r="N154" s="42"/>
      <c r="O154" s="42"/>
      <c r="P154" s="42"/>
      <c r="Q154" s="77"/>
      <c r="R154" s="77"/>
      <c r="S154" s="77"/>
    </row>
    <row r="155" spans="1:19" ht="15.75" hidden="1">
      <c r="A155" s="42"/>
      <c r="B155" s="42"/>
      <c r="C155" s="42"/>
      <c r="D155" s="42"/>
      <c r="E155" s="42"/>
      <c r="F155" s="42"/>
      <c r="G155" s="77"/>
      <c r="H155" s="77"/>
      <c r="I155" s="77"/>
      <c r="J155" s="42"/>
      <c r="K155" s="42"/>
      <c r="L155" s="42"/>
      <c r="M155" s="42"/>
      <c r="N155" s="42"/>
      <c r="O155" s="42"/>
      <c r="P155" s="42"/>
      <c r="Q155" s="77"/>
      <c r="R155" s="77"/>
      <c r="S155" s="77"/>
    </row>
    <row r="156" spans="1:19" ht="15.75" hidden="1">
      <c r="A156" s="42"/>
      <c r="B156" s="42"/>
      <c r="C156" s="42"/>
      <c r="D156" s="42"/>
      <c r="E156" s="42"/>
      <c r="F156" s="42"/>
      <c r="G156" s="77"/>
      <c r="H156" s="77"/>
      <c r="I156" s="77"/>
      <c r="J156" s="42"/>
      <c r="K156" s="42"/>
      <c r="L156" s="42"/>
      <c r="M156" s="42"/>
      <c r="N156" s="42"/>
      <c r="O156" s="42"/>
      <c r="P156" s="42"/>
      <c r="Q156" s="77"/>
      <c r="R156" s="77"/>
      <c r="S156" s="77"/>
    </row>
    <row r="157" spans="1:19" ht="15.75">
      <c r="A157" s="27"/>
      <c r="B157" s="42"/>
      <c r="C157" s="27"/>
      <c r="D157" s="42"/>
      <c r="E157" s="42"/>
      <c r="F157" s="42"/>
      <c r="G157" s="77"/>
      <c r="H157" s="76"/>
      <c r="I157" s="76"/>
      <c r="J157" s="42"/>
      <c r="K157" s="42"/>
      <c r="L157" s="42"/>
      <c r="M157" s="42"/>
      <c r="N157" s="42"/>
      <c r="O157" s="42"/>
      <c r="P157" s="42"/>
      <c r="Q157" s="77"/>
      <c r="R157" s="77"/>
      <c r="S157" s="77"/>
    </row>
    <row r="158" spans="1:19" ht="15.75">
      <c r="A158" s="27"/>
      <c r="B158" s="42"/>
      <c r="C158" s="27"/>
      <c r="D158" s="42"/>
      <c r="E158" s="42"/>
      <c r="F158" s="42"/>
      <c r="G158" s="77"/>
      <c r="H158" s="77"/>
      <c r="I158" s="77"/>
      <c r="J158" s="42"/>
      <c r="K158" s="42"/>
      <c r="L158" s="42"/>
      <c r="M158" s="42"/>
      <c r="N158" s="42"/>
      <c r="O158" s="42"/>
      <c r="P158" s="42"/>
      <c r="Q158" s="77"/>
      <c r="R158" s="77"/>
      <c r="S158" s="77"/>
    </row>
    <row r="159" spans="1:19" ht="15.75">
      <c r="A159" s="27"/>
      <c r="B159" s="42"/>
      <c r="C159" s="27"/>
      <c r="D159" s="42"/>
      <c r="E159" s="42"/>
      <c r="F159" s="42"/>
      <c r="G159" s="77"/>
      <c r="H159" s="77"/>
      <c r="I159" s="77"/>
      <c r="J159" s="42"/>
      <c r="K159" s="42"/>
      <c r="L159" s="42"/>
      <c r="M159" s="42"/>
      <c r="N159" s="42"/>
      <c r="O159" s="42"/>
      <c r="P159" s="42"/>
      <c r="Q159" s="77"/>
      <c r="R159" s="77"/>
      <c r="S159" s="77"/>
    </row>
    <row r="160" spans="1:19" ht="15.75">
      <c r="A160" s="27"/>
      <c r="B160" s="42"/>
      <c r="C160" s="27"/>
      <c r="D160" s="42"/>
      <c r="E160" s="42"/>
      <c r="F160" s="42"/>
      <c r="G160" s="77"/>
      <c r="H160" s="77"/>
      <c r="I160" s="77"/>
      <c r="J160" s="42"/>
      <c r="K160" s="42"/>
      <c r="L160" s="42"/>
      <c r="M160" s="42"/>
      <c r="N160" s="42"/>
      <c r="O160" s="42"/>
      <c r="P160" s="42"/>
      <c r="Q160" s="77"/>
      <c r="R160" s="77"/>
      <c r="S160" s="77"/>
    </row>
    <row r="161" spans="1:82" ht="16.5" thickBot="1">
      <c r="A161" s="27"/>
      <c r="B161" s="27"/>
      <c r="C161" s="27"/>
      <c r="D161" s="27"/>
      <c r="E161" s="27"/>
      <c r="F161" s="27"/>
      <c r="G161" s="76"/>
      <c r="H161" s="76"/>
      <c r="I161" s="76"/>
      <c r="J161" s="42"/>
      <c r="K161" s="42"/>
      <c r="L161" s="42"/>
      <c r="M161" s="42"/>
      <c r="N161" s="27"/>
      <c r="O161" s="27"/>
      <c r="P161" s="27"/>
      <c r="Q161" s="77"/>
      <c r="R161" s="77"/>
      <c r="S161" s="76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</row>
    <row r="162" spans="1:82" s="25" customFormat="1" ht="17.25" thickBot="1" thickTop="1">
      <c r="A162" s="27"/>
      <c r="B162" s="27"/>
      <c r="C162" s="27"/>
      <c r="D162" s="27"/>
      <c r="E162" s="27"/>
      <c r="F162" s="27"/>
      <c r="G162" s="76"/>
      <c r="H162" s="76"/>
      <c r="I162" s="76"/>
      <c r="J162" s="27"/>
      <c r="K162" s="27"/>
      <c r="L162" s="27"/>
      <c r="M162" s="27"/>
      <c r="N162" s="27"/>
      <c r="O162" s="27"/>
      <c r="P162" s="27"/>
      <c r="Q162" s="76"/>
      <c r="R162" s="76"/>
      <c r="S162" s="76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</row>
    <row r="163" spans="1:19" ht="16.5" thickTop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77"/>
      <c r="R163" s="77"/>
      <c r="S163" s="77"/>
    </row>
    <row r="164" spans="1:19" ht="15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77"/>
      <c r="R164" s="77"/>
      <c r="S164" s="77"/>
    </row>
  </sheetData>
  <sheetProtection/>
  <mergeCells count="7">
    <mergeCell ref="A54:H54"/>
    <mergeCell ref="K54:Q54"/>
    <mergeCell ref="E14:G14"/>
    <mergeCell ref="A1:R1"/>
    <mergeCell ref="A2:R2"/>
    <mergeCell ref="A5:I5"/>
    <mergeCell ref="K5:R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J37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6384" width="9.140625" style="22" customWidth="1"/>
  </cols>
  <sheetData>
    <row r="2" spans="1:10" ht="15.75">
      <c r="A2" s="500" t="s">
        <v>294</v>
      </c>
      <c r="B2" s="500"/>
      <c r="C2" s="500"/>
      <c r="D2" s="500"/>
      <c r="E2" s="500"/>
      <c r="F2" s="500"/>
      <c r="G2" s="500"/>
      <c r="H2" s="500"/>
      <c r="I2" s="500"/>
      <c r="J2" s="96"/>
    </row>
    <row r="3" spans="1:9" ht="15.75">
      <c r="A3" s="500" t="s">
        <v>199</v>
      </c>
      <c r="B3" s="500"/>
      <c r="C3" s="500"/>
      <c r="D3" s="500"/>
      <c r="E3" s="500"/>
      <c r="F3" s="500"/>
      <c r="G3" s="500"/>
      <c r="H3" s="500"/>
      <c r="I3" s="500"/>
    </row>
    <row r="4" spans="2:5" ht="15.75">
      <c r="B4" s="164"/>
      <c r="C4" s="164"/>
      <c r="D4" s="164"/>
      <c r="E4" s="164"/>
    </row>
    <row r="5" ht="15.75">
      <c r="I5" s="123" t="s">
        <v>293</v>
      </c>
    </row>
    <row r="6" ht="16.5" thickBot="1"/>
    <row r="7" spans="1:9" ht="16.5" thickTop="1">
      <c r="A7" s="573" t="s">
        <v>200</v>
      </c>
      <c r="B7" s="564" t="s">
        <v>201</v>
      </c>
      <c r="C7" s="565"/>
      <c r="D7" s="565"/>
      <c r="E7" s="566"/>
      <c r="F7" s="436" t="s">
        <v>202</v>
      </c>
      <c r="G7" s="437" t="s">
        <v>203</v>
      </c>
      <c r="H7" s="437" t="s">
        <v>204</v>
      </c>
      <c r="I7" s="283">
        <v>2021</v>
      </c>
    </row>
    <row r="8" spans="1:9" ht="15.75">
      <c r="A8" s="574"/>
      <c r="B8" s="567"/>
      <c r="C8" s="568"/>
      <c r="D8" s="568"/>
      <c r="E8" s="569"/>
      <c r="F8" s="576" t="s">
        <v>205</v>
      </c>
      <c r="G8" s="577"/>
      <c r="H8" s="300" t="s">
        <v>206</v>
      </c>
      <c r="I8" s="438" t="s">
        <v>207</v>
      </c>
    </row>
    <row r="9" spans="1:9" ht="16.5" thickBot="1">
      <c r="A9" s="575"/>
      <c r="B9" s="570"/>
      <c r="C9" s="571"/>
      <c r="D9" s="571"/>
      <c r="E9" s="572"/>
      <c r="F9" s="578" t="s">
        <v>208</v>
      </c>
      <c r="G9" s="579"/>
      <c r="H9" s="439" t="s">
        <v>209</v>
      </c>
      <c r="I9" s="440" t="s">
        <v>210</v>
      </c>
    </row>
    <row r="10" spans="1:9" ht="16.5" thickTop="1">
      <c r="A10" s="33">
        <v>1</v>
      </c>
      <c r="B10" s="127" t="s">
        <v>211</v>
      </c>
      <c r="C10" s="128"/>
      <c r="D10" s="128"/>
      <c r="E10" s="267"/>
      <c r="F10" s="268">
        <f>SUM(F12,F14,F16,F18)</f>
        <v>65</v>
      </c>
      <c r="G10" s="127"/>
      <c r="H10" s="267"/>
      <c r="I10" s="269">
        <f aca="true" t="shared" si="0" ref="I10:I19">SUM(F10:H10)</f>
        <v>65</v>
      </c>
    </row>
    <row r="11" spans="1:9" ht="15.75">
      <c r="A11" s="284"/>
      <c r="B11" s="147" t="s">
        <v>212</v>
      </c>
      <c r="C11" s="136"/>
      <c r="D11" s="136"/>
      <c r="E11" s="266"/>
      <c r="F11" s="270">
        <v>40</v>
      </c>
      <c r="G11" s="147"/>
      <c r="H11" s="266"/>
      <c r="I11" s="271">
        <f t="shared" si="0"/>
        <v>40</v>
      </c>
    </row>
    <row r="12" spans="1:9" ht="15.75">
      <c r="A12" s="284"/>
      <c r="B12" s="147" t="s">
        <v>33</v>
      </c>
      <c r="C12" s="136"/>
      <c r="D12" s="136"/>
      <c r="E12" s="266"/>
      <c r="F12" s="270">
        <v>43</v>
      </c>
      <c r="G12" s="147"/>
      <c r="H12" s="266"/>
      <c r="I12" s="271">
        <f t="shared" si="0"/>
        <v>43</v>
      </c>
    </row>
    <row r="13" spans="1:9" ht="15.75">
      <c r="A13" s="447"/>
      <c r="B13" s="408" t="s">
        <v>212</v>
      </c>
      <c r="C13" s="141"/>
      <c r="D13" s="141"/>
      <c r="E13" s="448"/>
      <c r="F13" s="449">
        <v>24</v>
      </c>
      <c r="G13" s="408"/>
      <c r="H13" s="448"/>
      <c r="I13" s="450">
        <f t="shared" si="0"/>
        <v>24</v>
      </c>
    </row>
    <row r="14" spans="1:9" ht="15.75">
      <c r="A14" s="284"/>
      <c r="B14" s="147" t="s">
        <v>213</v>
      </c>
      <c r="C14" s="136"/>
      <c r="D14" s="136"/>
      <c r="E14" s="266"/>
      <c r="F14" s="270">
        <v>3</v>
      </c>
      <c r="G14" s="147"/>
      <c r="H14" s="266"/>
      <c r="I14" s="271">
        <f t="shared" si="0"/>
        <v>3</v>
      </c>
    </row>
    <row r="15" spans="1:9" ht="15.75">
      <c r="A15" s="284"/>
      <c r="B15" s="147" t="s">
        <v>212</v>
      </c>
      <c r="C15" s="136"/>
      <c r="D15" s="136"/>
      <c r="E15" s="266"/>
      <c r="F15" s="270">
        <v>2</v>
      </c>
      <c r="G15" s="147"/>
      <c r="H15" s="266"/>
      <c r="I15" s="271">
        <f t="shared" si="0"/>
        <v>2</v>
      </c>
    </row>
    <row r="16" spans="1:9" ht="15.75">
      <c r="A16" s="284"/>
      <c r="B16" s="147" t="s">
        <v>214</v>
      </c>
      <c r="C16" s="136"/>
      <c r="D16" s="136"/>
      <c r="E16" s="266"/>
      <c r="F16" s="270">
        <v>4</v>
      </c>
      <c r="G16" s="147"/>
      <c r="H16" s="266"/>
      <c r="I16" s="271">
        <f t="shared" si="0"/>
        <v>4</v>
      </c>
    </row>
    <row r="17" spans="1:9" ht="15.75">
      <c r="A17" s="284"/>
      <c r="B17" s="147" t="s">
        <v>212</v>
      </c>
      <c r="C17" s="136"/>
      <c r="D17" s="136"/>
      <c r="E17" s="266"/>
      <c r="F17" s="270">
        <v>2</v>
      </c>
      <c r="G17" s="147"/>
      <c r="H17" s="266"/>
      <c r="I17" s="271">
        <f t="shared" si="0"/>
        <v>2</v>
      </c>
    </row>
    <row r="18" spans="1:9" ht="15.75">
      <c r="A18" s="284"/>
      <c r="B18" s="147" t="s">
        <v>40</v>
      </c>
      <c r="C18" s="136"/>
      <c r="D18" s="136"/>
      <c r="E18" s="266"/>
      <c r="F18" s="270">
        <v>15</v>
      </c>
      <c r="G18" s="147"/>
      <c r="H18" s="266"/>
      <c r="I18" s="271">
        <f t="shared" si="0"/>
        <v>15</v>
      </c>
    </row>
    <row r="19" spans="1:9" ht="15.75">
      <c r="A19" s="284"/>
      <c r="B19" s="408" t="s">
        <v>215</v>
      </c>
      <c r="C19" s="141"/>
      <c r="D19" s="141"/>
      <c r="E19" s="448"/>
      <c r="F19" s="449">
        <v>12</v>
      </c>
      <c r="G19" s="408"/>
      <c r="H19" s="448"/>
      <c r="I19" s="450">
        <f t="shared" si="0"/>
        <v>12</v>
      </c>
    </row>
    <row r="20" spans="1:9" ht="15.75">
      <c r="A20" s="284"/>
      <c r="B20" s="147"/>
      <c r="C20" s="136"/>
      <c r="D20" s="136"/>
      <c r="E20" s="266"/>
      <c r="F20" s="270"/>
      <c r="G20" s="147"/>
      <c r="H20" s="266"/>
      <c r="I20" s="271"/>
    </row>
    <row r="21" spans="1:9" ht="15.75">
      <c r="A21" s="284">
        <v>2</v>
      </c>
      <c r="B21" s="127" t="s">
        <v>86</v>
      </c>
      <c r="C21" s="128"/>
      <c r="D21" s="128"/>
      <c r="E21" s="267"/>
      <c r="F21" s="268">
        <v>12</v>
      </c>
      <c r="G21" s="127" t="s">
        <v>216</v>
      </c>
      <c r="H21" s="267"/>
      <c r="I21" s="269">
        <f>SUM(F21,G21,H21)</f>
        <v>12</v>
      </c>
    </row>
    <row r="22" spans="1:9" ht="15.75">
      <c r="A22" s="284"/>
      <c r="B22" s="147"/>
      <c r="C22" s="136"/>
      <c r="D22" s="136"/>
      <c r="E22" s="266"/>
      <c r="F22" s="270"/>
      <c r="G22" s="147"/>
      <c r="H22" s="266"/>
      <c r="I22" s="271"/>
    </row>
    <row r="23" spans="1:9" ht="15.75">
      <c r="A23" s="284">
        <v>3</v>
      </c>
      <c r="B23" s="127" t="s">
        <v>217</v>
      </c>
      <c r="C23" s="128"/>
      <c r="D23" s="128"/>
      <c r="E23" s="266"/>
      <c r="F23" s="268">
        <f>SUM(F24:F29)</f>
        <v>39</v>
      </c>
      <c r="G23" s="127"/>
      <c r="H23" s="267">
        <v>0</v>
      </c>
      <c r="I23" s="269">
        <f>SUM(F23:H23)</f>
        <v>39</v>
      </c>
    </row>
    <row r="24" spans="1:9" ht="15.75">
      <c r="A24" s="284"/>
      <c r="B24" s="147" t="s">
        <v>218</v>
      </c>
      <c r="C24" s="136"/>
      <c r="D24" s="136"/>
      <c r="E24" s="266"/>
      <c r="F24" s="270">
        <v>11</v>
      </c>
      <c r="G24" s="147"/>
      <c r="H24" s="266"/>
      <c r="I24" s="271">
        <f aca="true" t="shared" si="1" ref="I24:I29">SUM(F24:H24)</f>
        <v>11</v>
      </c>
    </row>
    <row r="25" spans="1:9" ht="15.75">
      <c r="A25" s="265"/>
      <c r="B25" s="147" t="s">
        <v>219</v>
      </c>
      <c r="C25" s="136"/>
      <c r="D25" s="136"/>
      <c r="E25" s="266"/>
      <c r="F25" s="270">
        <v>2</v>
      </c>
      <c r="G25" s="147"/>
      <c r="H25" s="266"/>
      <c r="I25" s="271">
        <f t="shared" si="1"/>
        <v>2</v>
      </c>
    </row>
    <row r="26" spans="1:9" ht="15.75">
      <c r="A26" s="265"/>
      <c r="B26" s="147" t="s">
        <v>220</v>
      </c>
      <c r="C26" s="136"/>
      <c r="D26" s="136"/>
      <c r="E26" s="266"/>
      <c r="F26" s="270">
        <v>16</v>
      </c>
      <c r="G26" s="147"/>
      <c r="H26" s="266"/>
      <c r="I26" s="271">
        <f t="shared" si="1"/>
        <v>16</v>
      </c>
    </row>
    <row r="27" spans="1:9" ht="15.75">
      <c r="A27" s="265"/>
      <c r="B27" s="147" t="s">
        <v>221</v>
      </c>
      <c r="C27" s="136"/>
      <c r="D27" s="136"/>
      <c r="E27" s="266"/>
      <c r="F27" s="270">
        <v>2</v>
      </c>
      <c r="G27" s="147"/>
      <c r="H27" s="266"/>
      <c r="I27" s="271">
        <f t="shared" si="1"/>
        <v>2</v>
      </c>
    </row>
    <row r="28" spans="1:9" ht="15.75">
      <c r="A28" s="265"/>
      <c r="B28" s="147" t="s">
        <v>28</v>
      </c>
      <c r="C28" s="136"/>
      <c r="D28" s="136"/>
      <c r="E28" s="266"/>
      <c r="F28" s="270">
        <v>5</v>
      </c>
      <c r="G28" s="147"/>
      <c r="H28" s="266"/>
      <c r="I28" s="271">
        <f t="shared" si="1"/>
        <v>5</v>
      </c>
    </row>
    <row r="29" spans="1:9" ht="16.5" thickBot="1">
      <c r="A29" s="265"/>
      <c r="B29" s="272" t="s">
        <v>32</v>
      </c>
      <c r="C29" s="254"/>
      <c r="D29" s="254"/>
      <c r="E29" s="273"/>
      <c r="F29" s="274">
        <v>3</v>
      </c>
      <c r="G29" s="272"/>
      <c r="H29" s="273"/>
      <c r="I29" s="271">
        <f t="shared" si="1"/>
        <v>3</v>
      </c>
    </row>
    <row r="30" spans="1:9" ht="16.5" thickTop="1">
      <c r="A30" s="263"/>
      <c r="B30" s="133"/>
      <c r="C30" s="150"/>
      <c r="D30" s="150"/>
      <c r="E30" s="264"/>
      <c r="F30" s="275"/>
      <c r="G30" s="133"/>
      <c r="H30" s="264"/>
      <c r="I30" s="276"/>
    </row>
    <row r="31" spans="1:9" ht="16.5" thickBot="1">
      <c r="A31" s="277"/>
      <c r="B31" s="278" t="s">
        <v>222</v>
      </c>
      <c r="C31" s="279"/>
      <c r="D31" s="279"/>
      <c r="E31" s="280"/>
      <c r="F31" s="281">
        <f>SUM(F10,F21,F23)</f>
        <v>116</v>
      </c>
      <c r="G31" s="278"/>
      <c r="H31" s="280">
        <v>0</v>
      </c>
      <c r="I31" s="282">
        <f>SUM(F31:H31)</f>
        <v>116</v>
      </c>
    </row>
    <row r="32" ht="16.5" thickTop="1"/>
    <row r="34" ht="15.75">
      <c r="A34" s="42"/>
    </row>
    <row r="35" ht="15.75">
      <c r="A35" s="42"/>
    </row>
    <row r="36" ht="15.75">
      <c r="A36" s="42"/>
    </row>
    <row r="37" ht="15.75">
      <c r="A37" s="42"/>
    </row>
  </sheetData>
  <sheetProtection/>
  <mergeCells count="6">
    <mergeCell ref="A2:I2"/>
    <mergeCell ref="A3:I3"/>
    <mergeCell ref="B7:E9"/>
    <mergeCell ref="A7:A9"/>
    <mergeCell ref="F8:G8"/>
    <mergeCell ref="F9:G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3.00390625" style="22" customWidth="1"/>
    <col min="2" max="2" width="12.140625" style="22" customWidth="1"/>
    <col min="3" max="3" width="15.28125" style="22" customWidth="1"/>
    <col min="4" max="4" width="15.140625" style="22" customWidth="1"/>
    <col min="5" max="5" width="13.00390625" style="22" customWidth="1"/>
    <col min="6" max="6" width="13.140625" style="22" customWidth="1"/>
    <col min="7" max="7" width="14.57421875" style="22" customWidth="1"/>
    <col min="8" max="16384" width="9.140625" style="22" customWidth="1"/>
  </cols>
  <sheetData>
    <row r="1" ht="15.75">
      <c r="G1" s="296"/>
    </row>
    <row r="3" spans="1:7" ht="15.75">
      <c r="A3" s="459" t="s">
        <v>223</v>
      </c>
      <c r="B3" s="459"/>
      <c r="C3" s="459"/>
      <c r="D3" s="459"/>
      <c r="E3" s="459"/>
      <c r="F3" s="459"/>
      <c r="G3" s="459"/>
    </row>
    <row r="4" spans="1:10" ht="15" customHeight="1">
      <c r="A4" s="459" t="s">
        <v>321</v>
      </c>
      <c r="B4" s="459"/>
      <c r="C4" s="459"/>
      <c r="D4" s="459"/>
      <c r="E4" s="459"/>
      <c r="F4" s="459"/>
      <c r="G4" s="459"/>
      <c r="H4" s="285"/>
      <c r="I4" s="285"/>
      <c r="J4" s="285"/>
    </row>
    <row r="5" ht="15.75">
      <c r="G5" s="123" t="s">
        <v>295</v>
      </c>
    </row>
    <row r="6" ht="16.5" thickBot="1">
      <c r="G6" s="146" t="s">
        <v>284</v>
      </c>
    </row>
    <row r="7" spans="1:7" ht="15.75">
      <c r="A7" s="288" t="s">
        <v>224</v>
      </c>
      <c r="B7" s="289" t="s">
        <v>225</v>
      </c>
      <c r="C7" s="289" t="s">
        <v>226</v>
      </c>
      <c r="D7" s="289"/>
      <c r="E7" s="289"/>
      <c r="F7" s="289"/>
      <c r="G7" s="290" t="s">
        <v>227</v>
      </c>
    </row>
    <row r="8" spans="1:7" ht="15.75">
      <c r="A8" s="286"/>
      <c r="B8" s="136"/>
      <c r="C8" s="300">
        <v>2021</v>
      </c>
      <c r="D8" s="300">
        <v>2022</v>
      </c>
      <c r="E8" s="300">
        <v>2023</v>
      </c>
      <c r="F8" s="300">
        <v>2024</v>
      </c>
      <c r="G8" s="238"/>
    </row>
    <row r="9" spans="1:7" ht="15.75">
      <c r="A9" s="286">
        <v>1</v>
      </c>
      <c r="B9" s="136">
        <v>2</v>
      </c>
      <c r="C9" s="136">
        <v>3</v>
      </c>
      <c r="D9" s="136">
        <v>4</v>
      </c>
      <c r="E9" s="136">
        <v>5</v>
      </c>
      <c r="F9" s="136">
        <v>6</v>
      </c>
      <c r="G9" s="238">
        <v>7</v>
      </c>
    </row>
    <row r="10" spans="1:7" ht="15.75">
      <c r="A10" s="286" t="s">
        <v>228</v>
      </c>
      <c r="B10" s="136">
        <v>1</v>
      </c>
      <c r="C10" s="137">
        <v>0</v>
      </c>
      <c r="D10" s="137">
        <v>0</v>
      </c>
      <c r="E10" s="137">
        <v>0</v>
      </c>
      <c r="F10" s="137">
        <v>0</v>
      </c>
      <c r="G10" s="239">
        <f>SUM(C10:F10)</f>
        <v>0</v>
      </c>
    </row>
    <row r="11" spans="1:7" ht="15.75">
      <c r="A11" s="286" t="s">
        <v>229</v>
      </c>
      <c r="B11" s="136"/>
      <c r="C11" s="137">
        <v>0</v>
      </c>
      <c r="D11" s="136"/>
      <c r="E11" s="136"/>
      <c r="F11" s="136"/>
      <c r="G11" s="239">
        <f aca="true" t="shared" si="0" ref="G11:G20">SUM(C11:F11)</f>
        <v>0</v>
      </c>
    </row>
    <row r="12" spans="1:7" ht="15.75">
      <c r="A12" s="286" t="s">
        <v>230</v>
      </c>
      <c r="B12" s="136">
        <v>2</v>
      </c>
      <c r="C12" s="136"/>
      <c r="D12" s="136"/>
      <c r="E12" s="136"/>
      <c r="F12" s="136"/>
      <c r="G12" s="239">
        <f t="shared" si="0"/>
        <v>0</v>
      </c>
    </row>
    <row r="13" spans="1:7" ht="15.75">
      <c r="A13" s="286" t="s">
        <v>231</v>
      </c>
      <c r="B13" s="136">
        <v>3</v>
      </c>
      <c r="C13" s="136">
        <v>0</v>
      </c>
      <c r="D13" s="136">
        <v>0</v>
      </c>
      <c r="E13" s="136">
        <v>0</v>
      </c>
      <c r="F13" s="136">
        <v>0</v>
      </c>
      <c r="G13" s="239">
        <f t="shared" si="0"/>
        <v>0</v>
      </c>
    </row>
    <row r="14" spans="1:7" ht="15.75">
      <c r="A14" s="286" t="s">
        <v>232</v>
      </c>
      <c r="B14" s="136">
        <v>4</v>
      </c>
      <c r="C14" s="136"/>
      <c r="D14" s="136"/>
      <c r="E14" s="136"/>
      <c r="F14" s="136"/>
      <c r="G14" s="239">
        <f t="shared" si="0"/>
        <v>0</v>
      </c>
    </row>
    <row r="15" spans="1:7" ht="15.75">
      <c r="A15" s="286" t="s">
        <v>233</v>
      </c>
      <c r="B15" s="136">
        <v>5</v>
      </c>
      <c r="C15" s="136"/>
      <c r="D15" s="136"/>
      <c r="E15" s="136"/>
      <c r="F15" s="136"/>
      <c r="G15" s="239">
        <f t="shared" si="0"/>
        <v>0</v>
      </c>
    </row>
    <row r="16" spans="1:7" ht="15.75">
      <c r="A16" s="286" t="s">
        <v>234</v>
      </c>
      <c r="B16" s="136">
        <v>6</v>
      </c>
      <c r="C16" s="136"/>
      <c r="D16" s="136"/>
      <c r="E16" s="136"/>
      <c r="F16" s="136"/>
      <c r="G16" s="239">
        <f t="shared" si="0"/>
        <v>0</v>
      </c>
    </row>
    <row r="17" spans="1:7" ht="15.75">
      <c r="A17" s="286" t="s">
        <v>235</v>
      </c>
      <c r="B17" s="136">
        <v>7</v>
      </c>
      <c r="C17" s="136"/>
      <c r="D17" s="136"/>
      <c r="E17" s="136"/>
      <c r="F17" s="136"/>
      <c r="G17" s="239">
        <f t="shared" si="0"/>
        <v>0</v>
      </c>
    </row>
    <row r="18" spans="1:7" ht="15.75">
      <c r="A18" s="286" t="s">
        <v>236</v>
      </c>
      <c r="B18" s="136">
        <v>8</v>
      </c>
      <c r="C18" s="137">
        <v>0</v>
      </c>
      <c r="D18" s="137">
        <v>0</v>
      </c>
      <c r="E18" s="137">
        <v>0</v>
      </c>
      <c r="F18" s="137">
        <v>0</v>
      </c>
      <c r="G18" s="239">
        <f t="shared" si="0"/>
        <v>0</v>
      </c>
    </row>
    <row r="19" spans="1:7" ht="15.75">
      <c r="A19" s="286" t="s">
        <v>237</v>
      </c>
      <c r="B19" s="136">
        <v>9</v>
      </c>
      <c r="C19" s="137">
        <v>0</v>
      </c>
      <c r="D19" s="137">
        <v>0</v>
      </c>
      <c r="E19" s="137">
        <v>0</v>
      </c>
      <c r="F19" s="137">
        <v>0</v>
      </c>
      <c r="G19" s="239">
        <f t="shared" si="0"/>
        <v>0</v>
      </c>
    </row>
    <row r="20" spans="1:7" ht="15.75">
      <c r="A20" s="286" t="s">
        <v>238</v>
      </c>
      <c r="B20" s="136">
        <v>10</v>
      </c>
      <c r="C20" s="136">
        <v>0</v>
      </c>
      <c r="D20" s="136">
        <v>0</v>
      </c>
      <c r="E20" s="136">
        <v>0</v>
      </c>
      <c r="F20" s="136">
        <v>0</v>
      </c>
      <c r="G20" s="239">
        <f t="shared" si="0"/>
        <v>0</v>
      </c>
    </row>
    <row r="21" spans="1:7" ht="15.75">
      <c r="A21" s="286" t="s">
        <v>239</v>
      </c>
      <c r="B21" s="136">
        <v>11</v>
      </c>
      <c r="C21" s="136"/>
      <c r="D21" s="136"/>
      <c r="E21" s="136">
        <v>0</v>
      </c>
      <c r="F21" s="136"/>
      <c r="G21" s="238">
        <v>0</v>
      </c>
    </row>
    <row r="22" spans="1:7" ht="15.75">
      <c r="A22" s="286" t="s">
        <v>240</v>
      </c>
      <c r="B22" s="136">
        <v>12</v>
      </c>
      <c r="C22" s="136"/>
      <c r="D22" s="136"/>
      <c r="E22" s="136"/>
      <c r="F22" s="136"/>
      <c r="G22" s="238"/>
    </row>
    <row r="23" spans="1:7" ht="15.75">
      <c r="A23" s="286" t="s">
        <v>241</v>
      </c>
      <c r="B23" s="136">
        <v>13</v>
      </c>
      <c r="C23" s="136"/>
      <c r="D23" s="136"/>
      <c r="E23" s="136"/>
      <c r="F23" s="136"/>
      <c r="G23" s="238"/>
    </row>
    <row r="24" spans="1:7" ht="15.75">
      <c r="A24" s="286" t="s">
        <v>242</v>
      </c>
      <c r="B24" s="136">
        <v>14</v>
      </c>
      <c r="C24" s="136"/>
      <c r="D24" s="136"/>
      <c r="E24" s="136"/>
      <c r="F24" s="136"/>
      <c r="G24" s="238"/>
    </row>
    <row r="25" spans="1:7" ht="15.75">
      <c r="A25" s="286" t="s">
        <v>243</v>
      </c>
      <c r="B25" s="136">
        <v>15</v>
      </c>
      <c r="C25" s="136">
        <v>0</v>
      </c>
      <c r="D25" s="136"/>
      <c r="E25" s="136"/>
      <c r="F25" s="136"/>
      <c r="G25" s="238">
        <v>0</v>
      </c>
    </row>
    <row r="26" spans="1:7" ht="15.75">
      <c r="A26" s="286" t="s">
        <v>244</v>
      </c>
      <c r="B26" s="136">
        <v>16</v>
      </c>
      <c r="C26" s="136">
        <v>0</v>
      </c>
      <c r="D26" s="136">
        <v>0</v>
      </c>
      <c r="E26" s="136">
        <v>0</v>
      </c>
      <c r="F26" s="136">
        <v>0</v>
      </c>
      <c r="G26" s="238">
        <v>0</v>
      </c>
    </row>
    <row r="27" spans="1:7" ht="15.75">
      <c r="A27" s="286" t="s">
        <v>245</v>
      </c>
      <c r="B27" s="136">
        <v>17</v>
      </c>
      <c r="C27" s="136">
        <v>0</v>
      </c>
      <c r="D27" s="136">
        <v>0</v>
      </c>
      <c r="E27" s="136">
        <v>0</v>
      </c>
      <c r="F27" s="136">
        <v>0</v>
      </c>
      <c r="G27" s="238">
        <v>0</v>
      </c>
    </row>
    <row r="28" spans="1:7" ht="15.75">
      <c r="A28" s="286" t="s">
        <v>246</v>
      </c>
      <c r="B28" s="136">
        <v>18</v>
      </c>
      <c r="C28" s="136">
        <v>0</v>
      </c>
      <c r="D28" s="136">
        <v>0</v>
      </c>
      <c r="E28" s="136">
        <v>0</v>
      </c>
      <c r="F28" s="136">
        <v>0</v>
      </c>
      <c r="G28" s="238">
        <v>0</v>
      </c>
    </row>
    <row r="29" spans="1:7" ht="15.75">
      <c r="A29" s="286" t="s">
        <v>239</v>
      </c>
      <c r="B29" s="136">
        <v>19</v>
      </c>
      <c r="C29" s="136"/>
      <c r="D29" s="136"/>
      <c r="E29" s="136"/>
      <c r="F29" s="136"/>
      <c r="G29" s="238">
        <v>0</v>
      </c>
    </row>
    <row r="30" spans="1:7" ht="15.75">
      <c r="A30" s="286" t="s">
        <v>240</v>
      </c>
      <c r="B30" s="136">
        <v>20</v>
      </c>
      <c r="C30" s="136"/>
      <c r="D30" s="136"/>
      <c r="E30" s="136"/>
      <c r="F30" s="136"/>
      <c r="G30" s="238"/>
    </row>
    <row r="31" spans="1:7" ht="15.75">
      <c r="A31" s="286" t="s">
        <v>241</v>
      </c>
      <c r="B31" s="136">
        <v>21</v>
      </c>
      <c r="C31" s="136"/>
      <c r="D31" s="136"/>
      <c r="E31" s="136"/>
      <c r="F31" s="136"/>
      <c r="G31" s="238"/>
    </row>
    <row r="32" spans="1:7" ht="15.75">
      <c r="A32" s="286" t="s">
        <v>242</v>
      </c>
      <c r="B32" s="136">
        <v>22</v>
      </c>
      <c r="C32" s="136"/>
      <c r="D32" s="136"/>
      <c r="E32" s="136"/>
      <c r="F32" s="136"/>
      <c r="G32" s="238"/>
    </row>
    <row r="33" spans="1:7" ht="15.75">
      <c r="A33" s="286" t="s">
        <v>243</v>
      </c>
      <c r="B33" s="136">
        <v>23</v>
      </c>
      <c r="C33" s="136"/>
      <c r="D33" s="136"/>
      <c r="E33" s="136"/>
      <c r="F33" s="136"/>
      <c r="G33" s="238"/>
    </row>
    <row r="34" spans="1:7" ht="15.75">
      <c r="A34" s="286" t="s">
        <v>244</v>
      </c>
      <c r="B34" s="136">
        <v>24</v>
      </c>
      <c r="C34" s="136"/>
      <c r="D34" s="136"/>
      <c r="E34" s="136"/>
      <c r="F34" s="136"/>
      <c r="G34" s="238"/>
    </row>
    <row r="35" spans="1:7" ht="15.75">
      <c r="A35" s="286" t="s">
        <v>245</v>
      </c>
      <c r="B35" s="136">
        <v>25</v>
      </c>
      <c r="C35" s="136"/>
      <c r="D35" s="136"/>
      <c r="E35" s="136"/>
      <c r="F35" s="136"/>
      <c r="G35" s="238"/>
    </row>
    <row r="36" spans="1:7" ht="15.75">
      <c r="A36" s="286" t="s">
        <v>247</v>
      </c>
      <c r="B36" s="136">
        <v>26</v>
      </c>
      <c r="C36" s="136">
        <v>0</v>
      </c>
      <c r="D36" s="136">
        <v>0</v>
      </c>
      <c r="E36" s="136">
        <v>0</v>
      </c>
      <c r="F36" s="136">
        <v>0</v>
      </c>
      <c r="G36" s="238">
        <v>0</v>
      </c>
    </row>
    <row r="37" spans="1:7" ht="15.75">
      <c r="A37" s="286" t="s">
        <v>248</v>
      </c>
      <c r="B37" s="136">
        <v>27</v>
      </c>
      <c r="C37" s="137">
        <v>0</v>
      </c>
      <c r="D37" s="137">
        <v>0</v>
      </c>
      <c r="E37" s="137">
        <v>0</v>
      </c>
      <c r="F37" s="137">
        <v>0</v>
      </c>
      <c r="G37" s="239">
        <v>0</v>
      </c>
    </row>
    <row r="38" spans="1:7" ht="15.75">
      <c r="A38" s="286"/>
      <c r="B38" s="136"/>
      <c r="C38" s="136"/>
      <c r="D38" s="136"/>
      <c r="E38" s="136"/>
      <c r="F38" s="136"/>
      <c r="G38" s="238"/>
    </row>
    <row r="39" spans="1:7" ht="16.5" thickBot="1">
      <c r="A39" s="287"/>
      <c r="B39" s="240"/>
      <c r="C39" s="240"/>
      <c r="D39" s="240"/>
      <c r="E39" s="240"/>
      <c r="F39" s="240"/>
      <c r="G39" s="242"/>
    </row>
  </sheetData>
  <sheetProtection/>
  <mergeCells count="2">
    <mergeCell ref="A4:G4"/>
    <mergeCell ref="A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Y27"/>
  <sheetViews>
    <sheetView zoomScalePageLayoutView="0" workbookViewId="0" topLeftCell="A10">
      <selection activeCell="R23" sqref="R23"/>
    </sheetView>
  </sheetViews>
  <sheetFormatPr defaultColWidth="9.140625" defaultRowHeight="12.75"/>
  <cols>
    <col min="1" max="1" width="5.00390625" style="302" customWidth="1"/>
    <col min="2" max="2" width="15.28125" style="302" bestFit="1" customWidth="1"/>
    <col min="3" max="3" width="10.57421875" style="375" customWidth="1"/>
    <col min="4" max="6" width="16.140625" style="302" customWidth="1"/>
    <col min="7" max="7" width="13.00390625" style="302" customWidth="1"/>
    <col min="8" max="8" width="0" style="302" hidden="1" customWidth="1"/>
    <col min="9" max="9" width="12.8515625" style="307" customWidth="1"/>
    <col min="10" max="10" width="11.8515625" style="307" customWidth="1"/>
    <col min="11" max="11" width="11.8515625" style="302" hidden="1" customWidth="1"/>
    <col min="12" max="12" width="9.28125" style="302" hidden="1" customWidth="1"/>
    <col min="13" max="13" width="0" style="302" hidden="1" customWidth="1"/>
    <col min="14" max="19" width="13.7109375" style="302" customWidth="1"/>
    <col min="20" max="20" width="9.7109375" style="302" hidden="1" customWidth="1"/>
    <col min="21" max="21" width="0" style="302" hidden="1" customWidth="1"/>
    <col min="22" max="22" width="15.7109375" style="307" customWidth="1"/>
    <col min="23" max="23" width="12.421875" style="302" customWidth="1"/>
    <col min="24" max="24" width="14.7109375" style="302" customWidth="1"/>
    <col min="25" max="25" width="12.421875" style="307" customWidth="1"/>
    <col min="26" max="16384" width="9.140625" style="302" customWidth="1"/>
  </cols>
  <sheetData>
    <row r="1" spans="1:22" ht="17.25">
      <c r="A1" s="586" t="s">
        <v>307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</row>
    <row r="2" spans="1:22" ht="17.25">
      <c r="A2" s="586" t="s">
        <v>308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</row>
    <row r="3" spans="1:22" ht="15.75">
      <c r="A3" s="303"/>
      <c r="B3" s="303"/>
      <c r="C3" s="304"/>
      <c r="D3" s="305"/>
      <c r="E3" s="305"/>
      <c r="F3" s="305"/>
      <c r="G3" s="305"/>
      <c r="H3" s="306"/>
      <c r="I3" s="305"/>
      <c r="J3" s="305"/>
      <c r="K3" s="306"/>
      <c r="L3" s="305"/>
      <c r="M3" s="303"/>
      <c r="N3" s="305"/>
      <c r="O3" s="305"/>
      <c r="P3" s="305"/>
      <c r="Q3" s="305"/>
      <c r="R3" s="305"/>
      <c r="S3" s="307"/>
      <c r="T3" s="308"/>
      <c r="U3" s="308"/>
      <c r="V3" s="308"/>
    </row>
    <row r="4" spans="1:24" ht="16.5" thickBot="1">
      <c r="A4" s="303"/>
      <c r="B4" s="303"/>
      <c r="C4" s="304"/>
      <c r="D4" s="305">
        <v>250</v>
      </c>
      <c r="E4" s="305">
        <v>297000</v>
      </c>
      <c r="F4" s="305">
        <v>2789000</v>
      </c>
      <c r="G4" s="305">
        <v>16447442</v>
      </c>
      <c r="H4" s="306"/>
      <c r="I4" s="305"/>
      <c r="J4" s="305"/>
      <c r="K4" s="306"/>
      <c r="L4" s="305"/>
      <c r="M4" s="303"/>
      <c r="N4" s="305">
        <f>5801608+521174</f>
        <v>6322782</v>
      </c>
      <c r="O4" s="305">
        <v>7515000</v>
      </c>
      <c r="P4" s="305">
        <v>3000000</v>
      </c>
      <c r="Q4" s="305">
        <v>8456808</v>
      </c>
      <c r="R4" s="305">
        <v>2384000</v>
      </c>
      <c r="S4" s="307">
        <v>760000</v>
      </c>
      <c r="T4" s="307"/>
      <c r="U4" s="307"/>
      <c r="X4" s="309" t="s">
        <v>284</v>
      </c>
    </row>
    <row r="5" spans="1:24" ht="32.25" customHeight="1" thickTop="1">
      <c r="A5" s="598" t="s">
        <v>70</v>
      </c>
      <c r="B5" s="600" t="s">
        <v>31</v>
      </c>
      <c r="C5" s="587" t="s">
        <v>309</v>
      </c>
      <c r="D5" s="589" t="s">
        <v>310</v>
      </c>
      <c r="E5" s="591" t="s">
        <v>45</v>
      </c>
      <c r="F5" s="593" t="s">
        <v>311</v>
      </c>
      <c r="G5" s="595" t="s">
        <v>312</v>
      </c>
      <c r="H5" s="310"/>
      <c r="I5" s="591" t="s">
        <v>313</v>
      </c>
      <c r="J5" s="591"/>
      <c r="K5" s="310" t="s">
        <v>42</v>
      </c>
      <c r="L5" s="311" t="s">
        <v>44</v>
      </c>
      <c r="M5" s="312"/>
      <c r="N5" s="591" t="s">
        <v>314</v>
      </c>
      <c r="O5" s="597" t="s">
        <v>315</v>
      </c>
      <c r="P5" s="597" t="s">
        <v>305</v>
      </c>
      <c r="Q5" s="591" t="s">
        <v>72</v>
      </c>
      <c r="R5" s="591" t="s">
        <v>334</v>
      </c>
      <c r="S5" s="591" t="s">
        <v>73</v>
      </c>
      <c r="T5" s="311" t="s">
        <v>46</v>
      </c>
      <c r="U5" s="313" t="s">
        <v>43</v>
      </c>
      <c r="V5" s="580" t="s">
        <v>323</v>
      </c>
      <c r="W5" s="584" t="s">
        <v>316</v>
      </c>
      <c r="X5" s="582" t="s">
        <v>322</v>
      </c>
    </row>
    <row r="6" spans="1:24" ht="31.5" customHeight="1" thickBot="1">
      <c r="A6" s="599"/>
      <c r="B6" s="601"/>
      <c r="C6" s="588"/>
      <c r="D6" s="590"/>
      <c r="E6" s="592"/>
      <c r="F6" s="594"/>
      <c r="G6" s="596"/>
      <c r="H6" s="314"/>
      <c r="I6" s="315" t="s">
        <v>317</v>
      </c>
      <c r="J6" s="316" t="s">
        <v>51</v>
      </c>
      <c r="K6" s="314"/>
      <c r="L6" s="317"/>
      <c r="M6" s="318"/>
      <c r="N6" s="592"/>
      <c r="O6" s="592"/>
      <c r="P6" s="592"/>
      <c r="Q6" s="592"/>
      <c r="R6" s="592"/>
      <c r="S6" s="592"/>
      <c r="T6" s="317"/>
      <c r="U6" s="319"/>
      <c r="V6" s="581"/>
      <c r="W6" s="585"/>
      <c r="X6" s="583"/>
    </row>
    <row r="7" spans="1:24" ht="21.75" customHeight="1" thickTop="1">
      <c r="A7" s="320">
        <v>1</v>
      </c>
      <c r="B7" s="321" t="s">
        <v>47</v>
      </c>
      <c r="C7" s="322">
        <v>351</v>
      </c>
      <c r="D7" s="323">
        <f>C7*$D$4</f>
        <v>87750</v>
      </c>
      <c r="E7" s="324">
        <f>$E$4/$C$22*C7</f>
        <v>16628.967937470094</v>
      </c>
      <c r="F7" s="324">
        <f>$F$4/$C$22*C7</f>
        <v>156155.52719732013</v>
      </c>
      <c r="G7" s="324">
        <f aca="true" t="shared" si="0" ref="G7:G21">C7*$G$4/$C$24</f>
        <v>391579.1997558163</v>
      </c>
      <c r="H7" s="325"/>
      <c r="I7" s="324"/>
      <c r="J7" s="324"/>
      <c r="K7" s="325"/>
      <c r="L7" s="324"/>
      <c r="M7" s="326"/>
      <c r="N7" s="324">
        <f>($N$4/$N$26*C7)</f>
        <v>429015.3647786584</v>
      </c>
      <c r="O7" s="324">
        <f aca="true" t="shared" si="1" ref="O7:O20">$O$4/$O$26*C7</f>
        <v>185288.35347007585</v>
      </c>
      <c r="P7" s="324">
        <f aca="true" t="shared" si="2" ref="P7:P20">$P$4/$P$26*C7</f>
        <v>73967.40657488059</v>
      </c>
      <c r="Q7" s="324">
        <f aca="true" t="shared" si="3" ref="Q7:Q20">$Q$4/$Q$26*C7</f>
        <v>208509.38522056758</v>
      </c>
      <c r="R7" s="324">
        <f>$R$4/$R$26*C7</f>
        <v>58779.43242483844</v>
      </c>
      <c r="S7" s="324">
        <f aca="true" t="shared" si="4" ref="S7:S20">$S$4/$S$26*C7</f>
        <v>18738.409665636413</v>
      </c>
      <c r="T7" s="324"/>
      <c r="U7" s="327"/>
      <c r="V7" s="328">
        <f>SUM(D7:S7)</f>
        <v>1626412.0470252642</v>
      </c>
      <c r="W7" s="329">
        <v>698037</v>
      </c>
      <c r="X7" s="330">
        <f>V7-W7</f>
        <v>928375.0470252642</v>
      </c>
    </row>
    <row r="8" spans="1:24" ht="21.75" customHeight="1">
      <c r="A8" s="331">
        <v>2</v>
      </c>
      <c r="B8" s="332" t="s">
        <v>48</v>
      </c>
      <c r="C8" s="333">
        <v>578</v>
      </c>
      <c r="D8" s="334">
        <f aca="true" t="shared" si="5" ref="D8:D21">C8*$D$4</f>
        <v>144500</v>
      </c>
      <c r="E8" s="324">
        <f aca="true" t="shared" si="6" ref="E8:E21">$E$4/$C$22*C8</f>
        <v>27383.314723241347</v>
      </c>
      <c r="F8" s="335">
        <f aca="true" t="shared" si="7" ref="F8:F21">$F$4/$C$22*C8</f>
        <v>257144.9992024246</v>
      </c>
      <c r="G8" s="335">
        <f t="shared" si="0"/>
        <v>644822.7278030252</v>
      </c>
      <c r="H8" s="336"/>
      <c r="I8" s="335"/>
      <c r="J8" s="335"/>
      <c r="K8" s="336"/>
      <c r="L8" s="335"/>
      <c r="M8" s="337"/>
      <c r="N8" s="324">
        <f>($N$4/$N$26*C8)</f>
        <v>706469.745988788</v>
      </c>
      <c r="O8" s="324">
        <f t="shared" si="1"/>
        <v>305118.7131216634</v>
      </c>
      <c r="P8" s="324">
        <f t="shared" si="2"/>
        <v>121803.87749367801</v>
      </c>
      <c r="Q8" s="324">
        <f t="shared" si="3"/>
        <v>343357.3352065187</v>
      </c>
      <c r="R8" s="324">
        <f aca="true" t="shared" si="8" ref="R8:R20">$R$4/$R$26*C8</f>
        <v>96793.48131497612</v>
      </c>
      <c r="S8" s="324">
        <f t="shared" si="4"/>
        <v>30856.982298398423</v>
      </c>
      <c r="T8" s="335"/>
      <c r="U8" s="338"/>
      <c r="V8" s="328">
        <f aca="true" t="shared" si="9" ref="V8:V23">SUM(D8:S8)</f>
        <v>2678251.177152714</v>
      </c>
      <c r="W8" s="339">
        <v>1128200</v>
      </c>
      <c r="X8" s="340">
        <f aca="true" t="shared" si="10" ref="X8:X21">V8-W8</f>
        <v>1550051.1771527142</v>
      </c>
    </row>
    <row r="9" spans="1:24" ht="21.75" customHeight="1">
      <c r="A9" s="331">
        <v>3</v>
      </c>
      <c r="B9" s="332" t="s">
        <v>49</v>
      </c>
      <c r="C9" s="333">
        <v>378</v>
      </c>
      <c r="D9" s="334">
        <f t="shared" si="5"/>
        <v>94500</v>
      </c>
      <c r="E9" s="324">
        <f t="shared" si="6"/>
        <v>17908.119317275483</v>
      </c>
      <c r="F9" s="335">
        <f t="shared" si="7"/>
        <v>168167.49082788322</v>
      </c>
      <c r="G9" s="335">
        <f t="shared" si="0"/>
        <v>421700.6766601099</v>
      </c>
      <c r="H9" s="336"/>
      <c r="I9" s="335"/>
      <c r="J9" s="335"/>
      <c r="K9" s="336"/>
      <c r="L9" s="335"/>
      <c r="M9" s="337"/>
      <c r="N9" s="324">
        <f>($N$4/$N$26*C9)</f>
        <v>462016.546684709</v>
      </c>
      <c r="O9" s="324">
        <f t="shared" si="1"/>
        <v>199541.30373700478</v>
      </c>
      <c r="P9" s="324">
        <f t="shared" si="2"/>
        <v>79657.20708064064</v>
      </c>
      <c r="Q9" s="324">
        <f t="shared" si="3"/>
        <v>224548.56869907278</v>
      </c>
      <c r="R9" s="324">
        <f t="shared" si="8"/>
        <v>63300.92722674909</v>
      </c>
      <c r="S9" s="324">
        <f t="shared" si="4"/>
        <v>20179.82579376229</v>
      </c>
      <c r="T9" s="335"/>
      <c r="U9" s="338"/>
      <c r="V9" s="328">
        <f t="shared" si="9"/>
        <v>1751520.6660272072</v>
      </c>
      <c r="W9" s="339">
        <v>0</v>
      </c>
      <c r="X9" s="340">
        <f t="shared" si="10"/>
        <v>1751520.6660272072</v>
      </c>
    </row>
    <row r="10" spans="1:24" ht="21.75" customHeight="1">
      <c r="A10" s="331">
        <v>4</v>
      </c>
      <c r="B10" s="332" t="s">
        <v>50</v>
      </c>
      <c r="C10" s="333">
        <v>802</v>
      </c>
      <c r="D10" s="334">
        <f t="shared" si="5"/>
        <v>200500</v>
      </c>
      <c r="E10" s="324">
        <f t="shared" si="6"/>
        <v>37995.53357792312</v>
      </c>
      <c r="F10" s="335">
        <f t="shared" si="7"/>
        <v>356799.80858191097</v>
      </c>
      <c r="G10" s="335">
        <f t="shared" si="0"/>
        <v>894719.4250830903</v>
      </c>
      <c r="H10" s="336"/>
      <c r="I10" s="335">
        <v>0</v>
      </c>
      <c r="J10" s="335"/>
      <c r="K10" s="336"/>
      <c r="L10" s="335"/>
      <c r="M10" s="337"/>
      <c r="N10" s="324">
        <f>($N$4/$N$26*C10)</f>
        <v>980257.3292093562</v>
      </c>
      <c r="O10" s="324">
        <f t="shared" si="1"/>
        <v>423365.41163248103</v>
      </c>
      <c r="P10" s="324">
        <f t="shared" si="2"/>
        <v>169008.14835627985</v>
      </c>
      <c r="Q10" s="324">
        <f t="shared" si="3"/>
        <v>476423.15369485813</v>
      </c>
      <c r="R10" s="324">
        <f t="shared" si="8"/>
        <v>134305.1418937904</v>
      </c>
      <c r="S10" s="324">
        <f t="shared" si="4"/>
        <v>42815.39758359089</v>
      </c>
      <c r="T10" s="335"/>
      <c r="U10" s="338"/>
      <c r="V10" s="328">
        <f t="shared" si="9"/>
        <v>3716189.349613281</v>
      </c>
      <c r="W10" s="339">
        <v>1311730</v>
      </c>
      <c r="X10" s="340">
        <f t="shared" si="10"/>
        <v>2404459.349613281</v>
      </c>
    </row>
    <row r="11" spans="1:24" ht="21.75" customHeight="1">
      <c r="A11" s="331">
        <v>5</v>
      </c>
      <c r="B11" s="332" t="s">
        <v>51</v>
      </c>
      <c r="C11" s="333">
        <v>873</v>
      </c>
      <c r="D11" s="334">
        <f t="shared" si="5"/>
        <v>218250</v>
      </c>
      <c r="E11" s="324">
        <f t="shared" si="6"/>
        <v>41359.227947041</v>
      </c>
      <c r="F11" s="335">
        <f t="shared" si="7"/>
        <v>388386.82405487314</v>
      </c>
      <c r="G11" s="335">
        <f t="shared" si="0"/>
        <v>973927.7532388252</v>
      </c>
      <c r="H11" s="336"/>
      <c r="I11" s="335"/>
      <c r="J11" s="335">
        <v>6996181</v>
      </c>
      <c r="K11" s="336"/>
      <c r="L11" s="335"/>
      <c r="M11" s="337"/>
      <c r="N11" s="324">
        <f>($N$4/$N$26*C11)</f>
        <v>1067038.2149623043</v>
      </c>
      <c r="O11" s="324">
        <f t="shared" si="1"/>
        <v>460845.3919640348</v>
      </c>
      <c r="P11" s="324">
        <f t="shared" si="2"/>
        <v>183970.21635290814</v>
      </c>
      <c r="Q11" s="324">
        <f t="shared" si="3"/>
        <v>518600.2658050014</v>
      </c>
      <c r="R11" s="324">
        <f t="shared" si="8"/>
        <v>146194.99859511098</v>
      </c>
      <c r="S11" s="324">
        <f t="shared" si="4"/>
        <v>46605.788142736725</v>
      </c>
      <c r="T11" s="335"/>
      <c r="U11" s="338"/>
      <c r="V11" s="328">
        <f t="shared" si="9"/>
        <v>11041359.681062836</v>
      </c>
      <c r="W11" s="339">
        <v>1703056</v>
      </c>
      <c r="X11" s="340">
        <f t="shared" si="10"/>
        <v>9338303.681062836</v>
      </c>
    </row>
    <row r="12" spans="1:24" ht="21.75" customHeight="1">
      <c r="A12" s="331">
        <v>6</v>
      </c>
      <c r="B12" s="332" t="s">
        <v>52</v>
      </c>
      <c r="C12" s="333">
        <v>400</v>
      </c>
      <c r="D12" s="334">
        <f t="shared" si="5"/>
        <v>100000</v>
      </c>
      <c r="E12" s="324">
        <f t="shared" si="6"/>
        <v>18950.390811931728</v>
      </c>
      <c r="F12" s="335">
        <f t="shared" si="7"/>
        <v>177955.01674908277</v>
      </c>
      <c r="G12" s="335">
        <f t="shared" si="0"/>
        <v>446244.10228583054</v>
      </c>
      <c r="H12" s="336"/>
      <c r="I12" s="335"/>
      <c r="J12" s="335"/>
      <c r="K12" s="336"/>
      <c r="L12" s="335"/>
      <c r="M12" s="337"/>
      <c r="N12" s="335"/>
      <c r="O12" s="324">
        <f t="shared" si="1"/>
        <v>211154.8187693172</v>
      </c>
      <c r="P12" s="324">
        <f t="shared" si="2"/>
        <v>84293.34082607474</v>
      </c>
      <c r="Q12" s="324">
        <f t="shared" si="3"/>
        <v>237617.53301489184</v>
      </c>
      <c r="R12" s="324">
        <f t="shared" si="8"/>
        <v>66985.10817645406</v>
      </c>
      <c r="S12" s="324">
        <f t="shared" si="4"/>
        <v>21354.313009272268</v>
      </c>
      <c r="T12" s="335"/>
      <c r="U12" s="338"/>
      <c r="V12" s="328">
        <f t="shared" si="9"/>
        <v>1364554.623642855</v>
      </c>
      <c r="W12" s="339">
        <v>710848</v>
      </c>
      <c r="X12" s="340">
        <f t="shared" si="10"/>
        <v>653706.6236428551</v>
      </c>
    </row>
    <row r="13" spans="1:24" ht="21.75" customHeight="1">
      <c r="A13" s="331">
        <v>7</v>
      </c>
      <c r="B13" s="332" t="s">
        <v>53</v>
      </c>
      <c r="C13" s="333">
        <v>109</v>
      </c>
      <c r="D13" s="334">
        <f t="shared" si="5"/>
        <v>27250</v>
      </c>
      <c r="E13" s="324">
        <f t="shared" si="6"/>
        <v>5163.9814962513965</v>
      </c>
      <c r="F13" s="335">
        <f t="shared" si="7"/>
        <v>48492.74206412506</v>
      </c>
      <c r="G13" s="335">
        <f t="shared" si="0"/>
        <v>121601.51787288883</v>
      </c>
      <c r="H13" s="336"/>
      <c r="I13" s="335"/>
      <c r="J13" s="335"/>
      <c r="K13" s="336"/>
      <c r="L13" s="335"/>
      <c r="M13" s="337"/>
      <c r="N13" s="335"/>
      <c r="O13" s="324">
        <f t="shared" si="1"/>
        <v>57539.68811463894</v>
      </c>
      <c r="P13" s="324">
        <f t="shared" si="2"/>
        <v>22969.935375105368</v>
      </c>
      <c r="Q13" s="324">
        <f t="shared" si="3"/>
        <v>64750.77774655803</v>
      </c>
      <c r="R13" s="324">
        <f t="shared" si="8"/>
        <v>18253.44197808373</v>
      </c>
      <c r="S13" s="324">
        <f t="shared" si="4"/>
        <v>5819.050295026693</v>
      </c>
      <c r="T13" s="335"/>
      <c r="U13" s="338"/>
      <c r="V13" s="328">
        <f t="shared" si="9"/>
        <v>371841.13494267804</v>
      </c>
      <c r="W13" s="339">
        <v>204638</v>
      </c>
      <c r="X13" s="340">
        <f t="shared" si="10"/>
        <v>167203.13494267804</v>
      </c>
    </row>
    <row r="14" spans="1:24" ht="21.75" customHeight="1">
      <c r="A14" s="331">
        <v>8</v>
      </c>
      <c r="B14" s="332" t="s">
        <v>54</v>
      </c>
      <c r="C14" s="333">
        <v>80</v>
      </c>
      <c r="D14" s="334">
        <f t="shared" si="5"/>
        <v>20000</v>
      </c>
      <c r="E14" s="324">
        <f t="shared" si="6"/>
        <v>3790.078162386346</v>
      </c>
      <c r="F14" s="335">
        <f t="shared" si="7"/>
        <v>35591.00334981656</v>
      </c>
      <c r="G14" s="335">
        <f t="shared" si="0"/>
        <v>89248.82045716612</v>
      </c>
      <c r="H14" s="336"/>
      <c r="I14" s="335"/>
      <c r="J14" s="335"/>
      <c r="K14" s="336"/>
      <c r="L14" s="335"/>
      <c r="M14" s="337"/>
      <c r="N14" s="335"/>
      <c r="O14" s="324">
        <f t="shared" si="1"/>
        <v>42230.96375386344</v>
      </c>
      <c r="P14" s="324">
        <f t="shared" si="2"/>
        <v>16858.66816521495</v>
      </c>
      <c r="Q14" s="324">
        <f t="shared" si="3"/>
        <v>47523.50660297837</v>
      </c>
      <c r="R14" s="324">
        <f t="shared" si="8"/>
        <v>13397.021635290812</v>
      </c>
      <c r="S14" s="324">
        <f t="shared" si="4"/>
        <v>4270.862601854453</v>
      </c>
      <c r="T14" s="335"/>
      <c r="U14" s="338"/>
      <c r="V14" s="328">
        <f t="shared" si="9"/>
        <v>272910.92472857103</v>
      </c>
      <c r="W14" s="339">
        <v>131041</v>
      </c>
      <c r="X14" s="340">
        <f t="shared" si="10"/>
        <v>141869.92472857103</v>
      </c>
    </row>
    <row r="15" spans="1:24" ht="21.75" customHeight="1">
      <c r="A15" s="331">
        <v>9</v>
      </c>
      <c r="B15" s="332" t="s">
        <v>55</v>
      </c>
      <c r="C15" s="333">
        <v>441</v>
      </c>
      <c r="D15" s="334">
        <f t="shared" si="5"/>
        <v>110250</v>
      </c>
      <c r="E15" s="324">
        <f t="shared" si="6"/>
        <v>20892.80587015473</v>
      </c>
      <c r="F15" s="335">
        <f t="shared" si="7"/>
        <v>196195.40596586376</v>
      </c>
      <c r="G15" s="335">
        <f t="shared" si="0"/>
        <v>491984.1227701282</v>
      </c>
      <c r="H15" s="336"/>
      <c r="I15" s="335"/>
      <c r="J15" s="335"/>
      <c r="K15" s="336"/>
      <c r="L15" s="335"/>
      <c r="M15" s="337"/>
      <c r="N15" s="324">
        <f aca="true" t="shared" si="11" ref="N15:N20">($N$4/$N$26*C15)</f>
        <v>539019.3044654939</v>
      </c>
      <c r="O15" s="324">
        <f t="shared" si="1"/>
        <v>232798.18769317222</v>
      </c>
      <c r="P15" s="324">
        <f t="shared" si="2"/>
        <v>92933.40826074741</v>
      </c>
      <c r="Q15" s="324">
        <f t="shared" si="3"/>
        <v>261973.33014891826</v>
      </c>
      <c r="R15" s="324">
        <f t="shared" si="8"/>
        <v>73851.0817645406</v>
      </c>
      <c r="S15" s="324">
        <f t="shared" si="4"/>
        <v>23543.130092722673</v>
      </c>
      <c r="T15" s="335"/>
      <c r="U15" s="338"/>
      <c r="V15" s="328">
        <f t="shared" si="9"/>
        <v>2043440.7770317416</v>
      </c>
      <c r="W15" s="339">
        <v>823177</v>
      </c>
      <c r="X15" s="340">
        <f t="shared" si="10"/>
        <v>1220263.7770317416</v>
      </c>
    </row>
    <row r="16" spans="1:24" ht="21.75" customHeight="1">
      <c r="A16" s="331">
        <v>10</v>
      </c>
      <c r="B16" s="332" t="s">
        <v>56</v>
      </c>
      <c r="C16" s="333">
        <v>409</v>
      </c>
      <c r="D16" s="334">
        <f t="shared" si="5"/>
        <v>102250</v>
      </c>
      <c r="E16" s="324">
        <f t="shared" si="6"/>
        <v>19376.774605200193</v>
      </c>
      <c r="F16" s="335">
        <f t="shared" si="7"/>
        <v>181959.00462593714</v>
      </c>
      <c r="G16" s="335">
        <f t="shared" si="0"/>
        <v>456284.59458726173</v>
      </c>
      <c r="H16" s="336"/>
      <c r="I16" s="335"/>
      <c r="J16" s="335"/>
      <c r="K16" s="336"/>
      <c r="L16" s="335"/>
      <c r="M16" s="337"/>
      <c r="N16" s="324">
        <f t="shared" si="11"/>
        <v>499906.79257684125</v>
      </c>
      <c r="O16" s="324">
        <f t="shared" si="1"/>
        <v>215905.80219162686</v>
      </c>
      <c r="P16" s="324">
        <f t="shared" si="2"/>
        <v>86189.94099466143</v>
      </c>
      <c r="Q16" s="324">
        <f t="shared" si="3"/>
        <v>242963.9275077269</v>
      </c>
      <c r="R16" s="324">
        <f t="shared" si="8"/>
        <v>68492.27311042427</v>
      </c>
      <c r="S16" s="324">
        <f t="shared" si="4"/>
        <v>21834.785051980893</v>
      </c>
      <c r="T16" s="335"/>
      <c r="U16" s="338"/>
      <c r="V16" s="328">
        <f t="shared" si="9"/>
        <v>1895163.8952516608</v>
      </c>
      <c r="W16" s="339">
        <v>815355</v>
      </c>
      <c r="X16" s="340">
        <f t="shared" si="10"/>
        <v>1079808.8952516608</v>
      </c>
    </row>
    <row r="17" spans="1:24" ht="21.75" customHeight="1">
      <c r="A17" s="331">
        <v>11</v>
      </c>
      <c r="B17" s="332" t="s">
        <v>57</v>
      </c>
      <c r="C17" s="333">
        <v>339</v>
      </c>
      <c r="D17" s="334">
        <f t="shared" si="5"/>
        <v>84750</v>
      </c>
      <c r="E17" s="324">
        <f t="shared" si="6"/>
        <v>16060.45621311214</v>
      </c>
      <c r="F17" s="335">
        <f t="shared" si="7"/>
        <v>150816.87669484766</v>
      </c>
      <c r="G17" s="335">
        <f t="shared" si="0"/>
        <v>378191.8766872414</v>
      </c>
      <c r="H17" s="336"/>
      <c r="I17" s="335"/>
      <c r="J17" s="335"/>
      <c r="K17" s="336"/>
      <c r="L17" s="335"/>
      <c r="M17" s="337"/>
      <c r="N17" s="324">
        <f t="shared" si="11"/>
        <v>414348.17282041366</v>
      </c>
      <c r="O17" s="324">
        <f t="shared" si="1"/>
        <v>178953.70890699635</v>
      </c>
      <c r="P17" s="324">
        <f t="shared" si="2"/>
        <v>71438.60635009834</v>
      </c>
      <c r="Q17" s="324">
        <f t="shared" si="3"/>
        <v>201380.85923012084</v>
      </c>
      <c r="R17" s="324">
        <f t="shared" si="8"/>
        <v>56769.87917954481</v>
      </c>
      <c r="S17" s="324">
        <f t="shared" si="4"/>
        <v>18097.780275358247</v>
      </c>
      <c r="T17" s="335"/>
      <c r="U17" s="338"/>
      <c r="V17" s="328">
        <f t="shared" si="9"/>
        <v>1570808.2163577334</v>
      </c>
      <c r="W17" s="339">
        <v>680440</v>
      </c>
      <c r="X17" s="340">
        <f t="shared" si="10"/>
        <v>890368.2163577334</v>
      </c>
    </row>
    <row r="18" spans="1:24" ht="21.75" customHeight="1">
      <c r="A18" s="331">
        <v>12</v>
      </c>
      <c r="B18" s="332" t="s">
        <v>58</v>
      </c>
      <c r="C18" s="333">
        <v>27</v>
      </c>
      <c r="D18" s="334">
        <f t="shared" si="5"/>
        <v>6750</v>
      </c>
      <c r="E18" s="324">
        <f t="shared" si="6"/>
        <v>1279.1513798053918</v>
      </c>
      <c r="F18" s="335">
        <f t="shared" si="7"/>
        <v>12011.963630563088</v>
      </c>
      <c r="G18" s="335">
        <f t="shared" si="0"/>
        <v>30121.476904293562</v>
      </c>
      <c r="H18" s="336"/>
      <c r="I18" s="335"/>
      <c r="J18" s="335"/>
      <c r="K18" s="336"/>
      <c r="L18" s="335"/>
      <c r="M18" s="337"/>
      <c r="N18" s="324">
        <f t="shared" si="11"/>
        <v>33001.181906050646</v>
      </c>
      <c r="O18" s="324">
        <f t="shared" si="1"/>
        <v>14252.950266928912</v>
      </c>
      <c r="P18" s="324">
        <f t="shared" si="2"/>
        <v>5689.800505760046</v>
      </c>
      <c r="Q18" s="324">
        <f t="shared" si="3"/>
        <v>16039.1834785052</v>
      </c>
      <c r="R18" s="324">
        <f t="shared" si="8"/>
        <v>4521.494801910649</v>
      </c>
      <c r="S18" s="324">
        <f t="shared" si="4"/>
        <v>1441.416128125878</v>
      </c>
      <c r="T18" s="335"/>
      <c r="U18" s="338"/>
      <c r="V18" s="328">
        <f t="shared" si="9"/>
        <v>125108.61900194337</v>
      </c>
      <c r="W18" s="339">
        <v>50837</v>
      </c>
      <c r="X18" s="340">
        <f t="shared" si="10"/>
        <v>74271.61900194337</v>
      </c>
    </row>
    <row r="19" spans="1:24" ht="21.75" customHeight="1">
      <c r="A19" s="331">
        <v>13</v>
      </c>
      <c r="B19" s="332" t="s">
        <v>59</v>
      </c>
      <c r="C19" s="333">
        <v>235</v>
      </c>
      <c r="D19" s="334">
        <f t="shared" si="5"/>
        <v>58750</v>
      </c>
      <c r="E19" s="324">
        <f t="shared" si="6"/>
        <v>11133.354602009891</v>
      </c>
      <c r="F19" s="335">
        <f t="shared" si="7"/>
        <v>104548.57234008613</v>
      </c>
      <c r="G19" s="335">
        <f t="shared" si="0"/>
        <v>262168.4100929255</v>
      </c>
      <c r="H19" s="336"/>
      <c r="I19" s="335"/>
      <c r="J19" s="335"/>
      <c r="K19" s="336"/>
      <c r="L19" s="335"/>
      <c r="M19" s="337"/>
      <c r="N19" s="324">
        <f t="shared" si="11"/>
        <v>287232.5091822927</v>
      </c>
      <c r="O19" s="324">
        <f t="shared" si="1"/>
        <v>124053.45602697386</v>
      </c>
      <c r="P19" s="324">
        <f t="shared" si="2"/>
        <v>49522.33773531891</v>
      </c>
      <c r="Q19" s="324">
        <f t="shared" si="3"/>
        <v>139600.30064624894</v>
      </c>
      <c r="R19" s="324">
        <f t="shared" si="8"/>
        <v>39353.75105366676</v>
      </c>
      <c r="S19" s="324">
        <f t="shared" si="4"/>
        <v>12545.658892947456</v>
      </c>
      <c r="T19" s="335"/>
      <c r="U19" s="338"/>
      <c r="V19" s="328">
        <f t="shared" si="9"/>
        <v>1088908.3505724703</v>
      </c>
      <c r="W19" s="339">
        <v>461449</v>
      </c>
      <c r="X19" s="340">
        <f t="shared" si="10"/>
        <v>627459.3505724703</v>
      </c>
    </row>
    <row r="20" spans="1:24" ht="21.75" customHeight="1">
      <c r="A20" s="331">
        <v>14</v>
      </c>
      <c r="B20" s="332" t="s">
        <v>60</v>
      </c>
      <c r="C20" s="333">
        <v>740</v>
      </c>
      <c r="D20" s="334">
        <f t="shared" si="5"/>
        <v>185000</v>
      </c>
      <c r="E20" s="324">
        <f t="shared" si="6"/>
        <v>35058.2230020737</v>
      </c>
      <c r="F20" s="335">
        <f t="shared" si="7"/>
        <v>329216.78098580317</v>
      </c>
      <c r="G20" s="335">
        <f t="shared" si="0"/>
        <v>825551.5892287865</v>
      </c>
      <c r="H20" s="336"/>
      <c r="I20" s="335"/>
      <c r="J20" s="335"/>
      <c r="K20" s="336"/>
      <c r="L20" s="335"/>
      <c r="M20" s="337"/>
      <c r="N20" s="324">
        <f t="shared" si="11"/>
        <v>904476.8374250918</v>
      </c>
      <c r="O20" s="324">
        <f t="shared" si="1"/>
        <v>390636.41472323687</v>
      </c>
      <c r="P20" s="324">
        <f t="shared" si="2"/>
        <v>155942.68052823827</v>
      </c>
      <c r="Q20" s="324">
        <f t="shared" si="3"/>
        <v>439592.4360775499</v>
      </c>
      <c r="R20" s="324">
        <f t="shared" si="8"/>
        <v>123922.45012644002</v>
      </c>
      <c r="S20" s="324">
        <f t="shared" si="4"/>
        <v>39505.47906715369</v>
      </c>
      <c r="T20" s="335"/>
      <c r="U20" s="338"/>
      <c r="V20" s="328">
        <f t="shared" si="9"/>
        <v>3428902.8911643745</v>
      </c>
      <c r="W20" s="339"/>
      <c r="X20" s="340">
        <f t="shared" si="10"/>
        <v>3428902.8911643745</v>
      </c>
    </row>
    <row r="21" spans="1:24" ht="21.75" customHeight="1" thickBot="1">
      <c r="A21" s="341">
        <v>15</v>
      </c>
      <c r="B21" s="342" t="s">
        <v>65</v>
      </c>
      <c r="C21" s="343">
        <v>507</v>
      </c>
      <c r="D21" s="344">
        <f t="shared" si="5"/>
        <v>126750</v>
      </c>
      <c r="E21" s="345">
        <f t="shared" si="6"/>
        <v>24019.620354123464</v>
      </c>
      <c r="F21" s="345">
        <f t="shared" si="7"/>
        <v>225557.98372946243</v>
      </c>
      <c r="G21" s="345">
        <f t="shared" si="0"/>
        <v>565614.3996472902</v>
      </c>
      <c r="H21" s="346"/>
      <c r="I21" s="345"/>
      <c r="J21" s="345"/>
      <c r="K21" s="346"/>
      <c r="L21" s="345"/>
      <c r="M21" s="347"/>
      <c r="N21" s="345"/>
      <c r="O21" s="345"/>
      <c r="P21" s="345"/>
      <c r="Q21" s="345"/>
      <c r="R21" s="345"/>
      <c r="S21" s="345"/>
      <c r="T21" s="345"/>
      <c r="U21" s="348"/>
      <c r="V21" s="349">
        <f t="shared" si="9"/>
        <v>941942.0037308761</v>
      </c>
      <c r="W21" s="350">
        <v>851403</v>
      </c>
      <c r="X21" s="351">
        <f t="shared" si="10"/>
        <v>90539.00373087614</v>
      </c>
    </row>
    <row r="22" spans="1:24" ht="21.75" customHeight="1" thickTop="1">
      <c r="A22" s="320" t="s">
        <v>18</v>
      </c>
      <c r="B22" s="321"/>
      <c r="C22" s="352">
        <f aca="true" t="shared" si="12" ref="C22:K22">SUM(C7:C21)</f>
        <v>6269</v>
      </c>
      <c r="D22" s="353">
        <f t="shared" si="12"/>
        <v>1567250</v>
      </c>
      <c r="E22" s="354">
        <f>SUM(E7:E21)</f>
        <v>297000</v>
      </c>
      <c r="F22" s="354">
        <f>SUM(F7:F21)</f>
        <v>2789000.0000000005</v>
      </c>
      <c r="G22" s="354">
        <f t="shared" si="12"/>
        <v>6993760.693074679</v>
      </c>
      <c r="H22" s="355">
        <f t="shared" si="12"/>
        <v>0</v>
      </c>
      <c r="I22" s="354">
        <f t="shared" si="12"/>
        <v>0</v>
      </c>
      <c r="J22" s="354">
        <f t="shared" si="12"/>
        <v>6996181</v>
      </c>
      <c r="K22" s="355">
        <f t="shared" si="12"/>
        <v>0</v>
      </c>
      <c r="L22" s="354"/>
      <c r="M22" s="354">
        <f aca="true" t="shared" si="13" ref="M22:T22">SUM(M7:M21)</f>
        <v>0</v>
      </c>
      <c r="N22" s="354">
        <f t="shared" si="13"/>
        <v>6322782</v>
      </c>
      <c r="O22" s="354">
        <f t="shared" si="13"/>
        <v>3041685.1643720143</v>
      </c>
      <c r="P22" s="354">
        <f>SUM(P7:P21)</f>
        <v>1214245.5745996067</v>
      </c>
      <c r="Q22" s="354">
        <f t="shared" si="13"/>
        <v>3422880.563079517</v>
      </c>
      <c r="R22" s="354">
        <f>SUM(R7:R21)</f>
        <v>964920.4832818208</v>
      </c>
      <c r="S22" s="354">
        <f t="shared" si="13"/>
        <v>307608.87889856705</v>
      </c>
      <c r="T22" s="354">
        <f t="shared" si="13"/>
        <v>0</v>
      </c>
      <c r="U22" s="356">
        <f>SUM(U16,U17)</f>
        <v>0</v>
      </c>
      <c r="V22" s="357">
        <f>SUM(V7:V21)</f>
        <v>33917314.357306205</v>
      </c>
      <c r="W22" s="329">
        <f>SUM(W7:W21)</f>
        <v>9570211</v>
      </c>
      <c r="X22" s="330">
        <f>SUM(X7:X21)</f>
        <v>24347103.35730621</v>
      </c>
    </row>
    <row r="23" spans="1:25" s="301" customFormat="1" ht="21.75" customHeight="1">
      <c r="A23" s="331" t="s">
        <v>61</v>
      </c>
      <c r="B23" s="332"/>
      <c r="C23" s="358">
        <v>8474</v>
      </c>
      <c r="D23" s="359">
        <f>C23*D4</f>
        <v>2118500</v>
      </c>
      <c r="E23" s="354">
        <f>888000+17</f>
        <v>888017</v>
      </c>
      <c r="F23" s="360"/>
      <c r="G23" s="360">
        <f>C23*$G$4/$C$24</f>
        <v>9453681.306925321</v>
      </c>
      <c r="H23" s="361"/>
      <c r="I23" s="360"/>
      <c r="J23" s="360"/>
      <c r="K23" s="361"/>
      <c r="L23" s="360"/>
      <c r="M23" s="362"/>
      <c r="N23" s="360">
        <f>25172705+3422013</f>
        <v>28594718</v>
      </c>
      <c r="O23" s="354">
        <f>$O$4/$O$26*C23</f>
        <v>4473314.835627985</v>
      </c>
      <c r="P23" s="354">
        <f>$P$4/$P$26*C23</f>
        <v>1785754.4254003935</v>
      </c>
      <c r="Q23" s="354">
        <f>$Q$4/$Q$26*C23</f>
        <v>5033927.436920484</v>
      </c>
      <c r="R23" s="354">
        <f>$R$4/$R$26*C23</f>
        <v>1419079.5167181792</v>
      </c>
      <c r="S23" s="354">
        <f>$S$4/$S$26*C23</f>
        <v>452391.12110143295</v>
      </c>
      <c r="T23" s="360"/>
      <c r="U23" s="363"/>
      <c r="V23" s="328">
        <f t="shared" si="9"/>
        <v>54219383.642693795</v>
      </c>
      <c r="W23" s="364"/>
      <c r="X23" s="340"/>
      <c r="Y23" s="446"/>
    </row>
    <row r="24" spans="1:24" ht="21.75" customHeight="1" thickBot="1">
      <c r="A24" s="365" t="s">
        <v>74</v>
      </c>
      <c r="B24" s="366"/>
      <c r="C24" s="367">
        <f>SUM(C23,C22)</f>
        <v>14743</v>
      </c>
      <c r="D24" s="368">
        <f>SUM(D23,D22)</f>
        <v>3685750</v>
      </c>
      <c r="E24" s="369">
        <f>SUM(E22:E23)</f>
        <v>1185017</v>
      </c>
      <c r="F24" s="369">
        <f>SUM(F23,F22)</f>
        <v>2789000.0000000005</v>
      </c>
      <c r="G24" s="369">
        <f>SUM(G23,G22)</f>
        <v>16447442</v>
      </c>
      <c r="H24" s="369">
        <f aca="true" t="shared" si="14" ref="H24:S24">SUM(H23,H22)</f>
        <v>0</v>
      </c>
      <c r="I24" s="369">
        <f t="shared" si="14"/>
        <v>0</v>
      </c>
      <c r="J24" s="369">
        <f t="shared" si="14"/>
        <v>6996181</v>
      </c>
      <c r="K24" s="369">
        <f t="shared" si="14"/>
        <v>0</v>
      </c>
      <c r="L24" s="369">
        <f t="shared" si="14"/>
        <v>0</v>
      </c>
      <c r="M24" s="369">
        <f t="shared" si="14"/>
        <v>0</v>
      </c>
      <c r="N24" s="369">
        <f t="shared" si="14"/>
        <v>34917500</v>
      </c>
      <c r="O24" s="369">
        <f t="shared" si="14"/>
        <v>7515000</v>
      </c>
      <c r="P24" s="369">
        <f>SUM(P22:P23)</f>
        <v>3000000</v>
      </c>
      <c r="Q24" s="369">
        <f>SUM(Q23,Q22)</f>
        <v>8456808</v>
      </c>
      <c r="R24" s="369">
        <f>SUM(R22:R23)</f>
        <v>2384000</v>
      </c>
      <c r="S24" s="369">
        <f t="shared" si="14"/>
        <v>760000</v>
      </c>
      <c r="T24" s="369"/>
      <c r="U24" s="370"/>
      <c r="V24" s="371">
        <f>SUM(V22:V23)</f>
        <v>88136698</v>
      </c>
      <c r="W24" s="350"/>
      <c r="X24" s="372"/>
    </row>
    <row r="25" spans="1:22" ht="19.5" customHeight="1" thickTop="1">
      <c r="A25" s="303"/>
      <c r="B25" s="303"/>
      <c r="C25" s="304"/>
      <c r="D25" s="305"/>
      <c r="E25" s="305"/>
      <c r="F25" s="305"/>
      <c r="G25" s="373"/>
      <c r="H25" s="306"/>
      <c r="I25" s="373"/>
      <c r="J25" s="373"/>
      <c r="K25" s="374"/>
      <c r="L25" s="305"/>
      <c r="M25" s="303"/>
      <c r="N25" s="373"/>
      <c r="O25" s="373"/>
      <c r="P25" s="373"/>
      <c r="Q25" s="373"/>
      <c r="R25" s="373"/>
      <c r="S25" s="373"/>
      <c r="T25" s="305"/>
      <c r="U25" s="305"/>
      <c r="V25" s="305"/>
    </row>
    <row r="26" spans="2:24" ht="19.5" customHeight="1">
      <c r="B26" s="302" t="s">
        <v>318</v>
      </c>
      <c r="D26" s="307"/>
      <c r="E26" s="307"/>
      <c r="F26" s="307"/>
      <c r="G26" s="307"/>
      <c r="H26" s="376"/>
      <c r="I26" s="377"/>
      <c r="J26" s="377"/>
      <c r="K26" s="378"/>
      <c r="L26" s="307"/>
      <c r="N26" s="307">
        <v>5173</v>
      </c>
      <c r="O26" s="307">
        <v>14236</v>
      </c>
      <c r="P26" s="307">
        <f>C24-C21</f>
        <v>14236</v>
      </c>
      <c r="Q26" s="307">
        <v>14236</v>
      </c>
      <c r="R26" s="307">
        <v>14236</v>
      </c>
      <c r="S26" s="307">
        <v>14236</v>
      </c>
      <c r="T26" s="307"/>
      <c r="U26" s="307"/>
      <c r="W26" s="305"/>
      <c r="X26" s="305"/>
    </row>
    <row r="27" spans="22:24" ht="19.5" customHeight="1">
      <c r="V27" s="308"/>
      <c r="W27" s="307"/>
      <c r="X27" s="307"/>
    </row>
    <row r="39" ht="15" customHeight="1"/>
  </sheetData>
  <sheetProtection/>
  <mergeCells count="19">
    <mergeCell ref="S5:S6"/>
    <mergeCell ref="O5:O6"/>
    <mergeCell ref="I5:J5"/>
    <mergeCell ref="A5:A6"/>
    <mergeCell ref="B5:B6"/>
    <mergeCell ref="N5:N6"/>
    <mergeCell ref="P5:P6"/>
    <mergeCell ref="Q5:Q6"/>
    <mergeCell ref="R5:R6"/>
    <mergeCell ref="V5:V6"/>
    <mergeCell ref="X5:X6"/>
    <mergeCell ref="W5:W6"/>
    <mergeCell ref="A1:V1"/>
    <mergeCell ref="A2:V2"/>
    <mergeCell ref="C5:C6"/>
    <mergeCell ref="D5:D6"/>
    <mergeCell ref="E5:E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S72"/>
  <sheetViews>
    <sheetView zoomScalePageLayoutView="0" workbookViewId="0" topLeftCell="A45">
      <selection activeCell="R38" sqref="R38"/>
    </sheetView>
  </sheetViews>
  <sheetFormatPr defaultColWidth="9.140625" defaultRowHeight="12.75"/>
  <cols>
    <col min="1" max="1" width="4.140625" style="22" customWidth="1"/>
    <col min="2" max="3" width="3.140625" style="22" customWidth="1"/>
    <col min="4" max="4" width="4.421875" style="22" customWidth="1"/>
    <col min="5" max="5" width="3.57421875" style="22" customWidth="1"/>
    <col min="6" max="6" width="9.140625" style="22" customWidth="1"/>
    <col min="7" max="7" width="21.7109375" style="22" customWidth="1"/>
    <col min="8" max="8" width="15.7109375" style="22" customWidth="1"/>
    <col min="9" max="9" width="16.28125" style="22" customWidth="1"/>
    <col min="10" max="10" width="9.140625" style="22" customWidth="1"/>
    <col min="11" max="11" width="4.8515625" style="22" customWidth="1"/>
    <col min="12" max="12" width="2.57421875" style="22" customWidth="1"/>
    <col min="13" max="13" width="4.00390625" style="22" customWidth="1"/>
    <col min="14" max="14" width="5.8515625" style="22" customWidth="1"/>
    <col min="15" max="15" width="9.140625" style="22" customWidth="1"/>
    <col min="16" max="16" width="25.8515625" style="22" customWidth="1"/>
    <col min="17" max="17" width="15.7109375" style="23" customWidth="1"/>
    <col min="18" max="18" width="16.28125" style="22" customWidth="1"/>
    <col min="19" max="19" width="14.8515625" style="22" customWidth="1"/>
    <col min="20" max="16384" width="9.140625" style="22" customWidth="1"/>
  </cols>
  <sheetData>
    <row r="1" spans="1:18" ht="15.75">
      <c r="A1" s="459" t="s">
        <v>75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5.75">
      <c r="A2" s="459" t="s">
        <v>331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</row>
    <row r="3" spans="1:18" ht="15.75">
      <c r="A3" s="459" t="s">
        <v>260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</row>
    <row r="4" spans="1:18" ht="15.75">
      <c r="A4" s="42"/>
      <c r="B4" s="42"/>
      <c r="C4" s="42"/>
      <c r="G4" s="3"/>
      <c r="H4" s="3"/>
      <c r="I4" s="3"/>
      <c r="J4" s="27"/>
      <c r="K4" s="3"/>
      <c r="L4" s="3"/>
      <c r="M4" s="3"/>
      <c r="N4" s="3"/>
      <c r="O4" s="3"/>
      <c r="Q4" s="22"/>
      <c r="R4" s="83" t="s">
        <v>106</v>
      </c>
    </row>
    <row r="5" ht="16.5" thickBot="1">
      <c r="R5" s="210" t="s">
        <v>284</v>
      </c>
    </row>
    <row r="6" spans="1:19" ht="17.25" thickBot="1" thickTop="1">
      <c r="A6" s="456" t="s">
        <v>77</v>
      </c>
      <c r="B6" s="457"/>
      <c r="C6" s="457"/>
      <c r="D6" s="457"/>
      <c r="E6" s="457"/>
      <c r="F6" s="457"/>
      <c r="G6" s="457"/>
      <c r="H6" s="457"/>
      <c r="I6" s="460"/>
      <c r="J6" s="27"/>
      <c r="K6" s="456" t="s">
        <v>78</v>
      </c>
      <c r="L6" s="457"/>
      <c r="M6" s="457"/>
      <c r="N6" s="457"/>
      <c r="O6" s="457"/>
      <c r="P6" s="457"/>
      <c r="Q6" s="457"/>
      <c r="R6" s="460"/>
      <c r="S6" s="32"/>
    </row>
    <row r="7" spans="1:19" ht="16.5" hidden="1" thickTop="1">
      <c r="A7" s="33"/>
      <c r="B7" s="34"/>
      <c r="C7" s="33"/>
      <c r="D7" s="34"/>
      <c r="E7" s="34"/>
      <c r="F7" s="34"/>
      <c r="G7" s="35"/>
      <c r="H7" s="34"/>
      <c r="I7" s="36"/>
      <c r="J7" s="27"/>
      <c r="K7" s="37"/>
      <c r="L7" s="38"/>
      <c r="M7" s="39"/>
      <c r="N7" s="40"/>
      <c r="O7" s="41"/>
      <c r="P7" s="42"/>
      <c r="Q7" s="43"/>
      <c r="R7" s="44"/>
      <c r="S7" s="32"/>
    </row>
    <row r="8" spans="1:19" ht="16.5" thickTop="1">
      <c r="A8" s="45" t="s">
        <v>79</v>
      </c>
      <c r="B8" s="27"/>
      <c r="C8" s="46"/>
      <c r="D8" s="47" t="s">
        <v>80</v>
      </c>
      <c r="E8" s="27"/>
      <c r="F8" s="27"/>
      <c r="G8" s="27"/>
      <c r="H8" s="56"/>
      <c r="I8" s="55"/>
      <c r="J8" s="27"/>
      <c r="K8" s="45"/>
      <c r="L8" s="27"/>
      <c r="M8" s="27"/>
      <c r="N8" s="48" t="s">
        <v>81</v>
      </c>
      <c r="O8" s="49"/>
      <c r="P8" s="49"/>
      <c r="Q8" s="50"/>
      <c r="R8" s="50"/>
      <c r="S8" s="51"/>
    </row>
    <row r="9" spans="1:19" ht="15.75">
      <c r="A9" s="52"/>
      <c r="B9" s="27" t="s">
        <v>82</v>
      </c>
      <c r="C9" s="46">
        <v>1</v>
      </c>
      <c r="D9" s="27" t="s">
        <v>83</v>
      </c>
      <c r="F9" s="42"/>
      <c r="G9" s="42"/>
      <c r="H9" s="54"/>
      <c r="I9" s="55">
        <f>H14+H19+H20+H21</f>
        <v>44200000</v>
      </c>
      <c r="K9" s="52"/>
      <c r="L9" s="27" t="s">
        <v>82</v>
      </c>
      <c r="M9" s="27">
        <v>1</v>
      </c>
      <c r="N9" s="81" t="s">
        <v>84</v>
      </c>
      <c r="O9" s="42"/>
      <c r="P9" s="27"/>
      <c r="Q9" s="56"/>
      <c r="R9" s="57">
        <f>Q14+Q19+Q20+Q21</f>
        <v>676440233</v>
      </c>
      <c r="S9" s="51"/>
    </row>
    <row r="10" spans="1:19" ht="15.75" hidden="1">
      <c r="A10" s="52"/>
      <c r="B10" s="42"/>
      <c r="C10" s="53"/>
      <c r="D10" s="41"/>
      <c r="E10" s="42"/>
      <c r="F10" s="42"/>
      <c r="G10" s="42"/>
      <c r="H10" s="54"/>
      <c r="I10" s="55"/>
      <c r="K10" s="45"/>
      <c r="L10" s="27"/>
      <c r="M10" s="27"/>
      <c r="N10" s="81"/>
      <c r="O10" s="42"/>
      <c r="P10" s="27"/>
      <c r="Q10" s="54"/>
      <c r="R10" s="50"/>
      <c r="S10" s="51"/>
    </row>
    <row r="11" spans="1:19" ht="15.75" hidden="1">
      <c r="A11" s="52"/>
      <c r="B11" s="42"/>
      <c r="C11" s="53"/>
      <c r="D11" s="41"/>
      <c r="E11" s="42"/>
      <c r="F11" s="42"/>
      <c r="G11" s="42"/>
      <c r="H11" s="54"/>
      <c r="I11" s="55"/>
      <c r="K11" s="45"/>
      <c r="L11" s="27"/>
      <c r="M11" s="27"/>
      <c r="N11" s="81"/>
      <c r="O11" s="42"/>
      <c r="P11" s="42"/>
      <c r="Q11" s="54"/>
      <c r="R11" s="50"/>
      <c r="S11" s="51"/>
    </row>
    <row r="12" spans="1:19" ht="15.75" hidden="1">
      <c r="A12" s="52"/>
      <c r="B12" s="42"/>
      <c r="C12" s="53"/>
      <c r="D12" s="41"/>
      <c r="E12" s="58"/>
      <c r="F12" s="42"/>
      <c r="G12" s="42"/>
      <c r="H12" s="54"/>
      <c r="I12" s="55"/>
      <c r="K12" s="45"/>
      <c r="L12" s="27"/>
      <c r="M12" s="27"/>
      <c r="N12" s="81"/>
      <c r="O12" s="58"/>
      <c r="P12" s="42"/>
      <c r="Q12" s="54"/>
      <c r="R12" s="50"/>
      <c r="S12" s="51"/>
    </row>
    <row r="13" spans="1:19" ht="15.75" hidden="1">
      <c r="A13" s="52"/>
      <c r="B13" s="42"/>
      <c r="C13" s="53"/>
      <c r="D13" s="41"/>
      <c r="E13" s="58"/>
      <c r="F13" s="42"/>
      <c r="G13" s="42"/>
      <c r="H13" s="54"/>
      <c r="I13" s="55"/>
      <c r="K13" s="45"/>
      <c r="L13" s="27"/>
      <c r="M13" s="27"/>
      <c r="N13" s="81"/>
      <c r="O13" s="58"/>
      <c r="P13" s="42"/>
      <c r="Q13" s="54"/>
      <c r="R13" s="50"/>
      <c r="S13" s="51"/>
    </row>
    <row r="14" spans="1:19" ht="15.75">
      <c r="A14" s="52"/>
      <c r="B14" s="42"/>
      <c r="C14" s="53"/>
      <c r="D14" s="41"/>
      <c r="E14" s="58" t="s">
        <v>85</v>
      </c>
      <c r="F14" s="42"/>
      <c r="G14" s="42"/>
      <c r="H14" s="54">
        <f>SUM(H15:H18)</f>
        <v>4300000</v>
      </c>
      <c r="I14" s="55"/>
      <c r="K14" s="45"/>
      <c r="L14" s="27"/>
      <c r="M14" s="27"/>
      <c r="N14" s="81"/>
      <c r="O14" s="59" t="s">
        <v>85</v>
      </c>
      <c r="P14" s="60"/>
      <c r="Q14" s="54">
        <f>SUM(Q15:Q18)</f>
        <v>345197719</v>
      </c>
      <c r="R14" s="50"/>
      <c r="S14" s="51"/>
    </row>
    <row r="15" spans="1:19" ht="15.75">
      <c r="A15" s="52"/>
      <c r="B15" s="42"/>
      <c r="C15" s="53"/>
      <c r="D15" s="41"/>
      <c r="E15" s="462" t="s">
        <v>254</v>
      </c>
      <c r="F15" s="462"/>
      <c r="G15" s="462"/>
      <c r="H15" s="162"/>
      <c r="I15" s="55"/>
      <c r="K15" s="45"/>
      <c r="L15" s="27"/>
      <c r="M15" s="27"/>
      <c r="N15" s="81"/>
      <c r="O15" s="160" t="s">
        <v>254</v>
      </c>
      <c r="P15" s="160"/>
      <c r="Q15" s="161">
        <f>Kiadás!O9-Q45</f>
        <v>221748719</v>
      </c>
      <c r="R15" s="50"/>
      <c r="S15" s="51"/>
    </row>
    <row r="16" spans="1:19" ht="15.75">
      <c r="A16" s="52"/>
      <c r="B16" s="42"/>
      <c r="C16" s="53"/>
      <c r="D16" s="41"/>
      <c r="E16" s="160" t="s">
        <v>255</v>
      </c>
      <c r="F16" s="160"/>
      <c r="G16" s="160"/>
      <c r="H16" s="162"/>
      <c r="I16" s="55"/>
      <c r="K16" s="45"/>
      <c r="L16" s="27"/>
      <c r="M16" s="27"/>
      <c r="N16" s="81"/>
      <c r="O16" s="160" t="s">
        <v>255</v>
      </c>
      <c r="P16" s="160"/>
      <c r="Q16" s="161">
        <f>Kiadás!O11-Q47</f>
        <v>16058000</v>
      </c>
      <c r="R16" s="50"/>
      <c r="S16" s="51"/>
    </row>
    <row r="17" spans="1:19" ht="15.75">
      <c r="A17" s="52"/>
      <c r="B17" s="42"/>
      <c r="C17" s="53"/>
      <c r="D17" s="41"/>
      <c r="E17" s="160" t="s">
        <v>256</v>
      </c>
      <c r="F17" s="160"/>
      <c r="G17" s="160"/>
      <c r="H17" s="162"/>
      <c r="I17" s="55"/>
      <c r="K17" s="45"/>
      <c r="L17" s="27"/>
      <c r="M17" s="27"/>
      <c r="N17" s="81"/>
      <c r="O17" s="160" t="s">
        <v>256</v>
      </c>
      <c r="P17" s="160"/>
      <c r="Q17" s="161">
        <f>Kiadás!O12-Q48</f>
        <v>22987000</v>
      </c>
      <c r="R17" s="50"/>
      <c r="S17" s="51"/>
    </row>
    <row r="18" spans="1:19" ht="15.75">
      <c r="A18" s="52"/>
      <c r="B18" s="42"/>
      <c r="C18" s="53"/>
      <c r="D18" s="41"/>
      <c r="E18" s="462" t="s">
        <v>257</v>
      </c>
      <c r="F18" s="462"/>
      <c r="G18" s="462"/>
      <c r="H18" s="162">
        <f>Bevétel!I14</f>
        <v>4300000</v>
      </c>
      <c r="I18" s="55"/>
      <c r="K18" s="45"/>
      <c r="L18" s="27"/>
      <c r="M18" s="27"/>
      <c r="N18" s="81"/>
      <c r="O18" s="160" t="s">
        <v>257</v>
      </c>
      <c r="P18" s="160"/>
      <c r="Q18" s="161">
        <f>Kiadás!O10-Q46</f>
        <v>84404000</v>
      </c>
      <c r="R18" s="50"/>
      <c r="S18" s="51"/>
    </row>
    <row r="19" spans="1:19" ht="15.75">
      <c r="A19" s="52"/>
      <c r="B19" s="42"/>
      <c r="C19" s="53"/>
      <c r="D19" s="41"/>
      <c r="E19" s="42" t="s">
        <v>86</v>
      </c>
      <c r="F19" s="42"/>
      <c r="G19" s="42"/>
      <c r="H19" s="54"/>
      <c r="I19" s="55"/>
      <c r="K19" s="45"/>
      <c r="L19" s="27"/>
      <c r="M19" s="27"/>
      <c r="N19" s="81"/>
      <c r="O19" s="42" t="s">
        <v>86</v>
      </c>
      <c r="P19" s="42"/>
      <c r="Q19" s="54">
        <f>Kiadás!O14</f>
        <v>73962370</v>
      </c>
      <c r="R19" s="50"/>
      <c r="S19" s="51"/>
    </row>
    <row r="20" spans="1:19" ht="15.75">
      <c r="A20" s="52"/>
      <c r="B20" s="42"/>
      <c r="C20" s="53"/>
      <c r="D20" s="41"/>
      <c r="E20" s="42" t="s">
        <v>21</v>
      </c>
      <c r="F20" s="42"/>
      <c r="G20" s="42"/>
      <c r="H20" s="54">
        <f>Bevétel!J16</f>
        <v>39900000</v>
      </c>
      <c r="I20" s="55"/>
      <c r="K20" s="45"/>
      <c r="L20" s="27"/>
      <c r="M20" s="27"/>
      <c r="N20" s="81"/>
      <c r="O20" s="42" t="s">
        <v>21</v>
      </c>
      <c r="P20" s="42"/>
      <c r="Q20" s="54">
        <f>Kiadás!O17-Q44</f>
        <v>257280144</v>
      </c>
      <c r="R20" s="50"/>
      <c r="S20" s="51"/>
    </row>
    <row r="21" spans="1:19" ht="15.75">
      <c r="A21" s="52"/>
      <c r="B21" s="42"/>
      <c r="C21" s="53"/>
      <c r="D21" s="41"/>
      <c r="E21" s="58" t="s">
        <v>0</v>
      </c>
      <c r="F21" s="42"/>
      <c r="G21" s="42"/>
      <c r="H21" s="54"/>
      <c r="I21" s="55"/>
      <c r="K21" s="45"/>
      <c r="L21" s="27"/>
      <c r="M21" s="27"/>
      <c r="N21" s="81"/>
      <c r="O21" s="58" t="s">
        <v>0</v>
      </c>
      <c r="P21" s="42"/>
      <c r="Q21" s="50">
        <f>Kiadás!J27</f>
        <v>0</v>
      </c>
      <c r="R21" s="50"/>
      <c r="S21" s="51"/>
    </row>
    <row r="22" spans="1:19" ht="15.75" hidden="1">
      <c r="A22" s="52"/>
      <c r="B22" s="42"/>
      <c r="C22" s="53"/>
      <c r="D22" s="41"/>
      <c r="E22" s="58"/>
      <c r="F22" s="42"/>
      <c r="G22" s="42"/>
      <c r="H22" s="54"/>
      <c r="I22" s="55"/>
      <c r="K22" s="45"/>
      <c r="L22" s="27"/>
      <c r="M22" s="27"/>
      <c r="N22" s="81"/>
      <c r="O22" s="58"/>
      <c r="P22" s="27"/>
      <c r="Q22" s="50"/>
      <c r="R22" s="50"/>
      <c r="S22" s="51"/>
    </row>
    <row r="23" spans="1:19" ht="15.75" hidden="1">
      <c r="A23" s="52"/>
      <c r="B23" s="42"/>
      <c r="C23" s="53"/>
      <c r="D23" s="41"/>
      <c r="E23" s="58"/>
      <c r="F23" s="42"/>
      <c r="G23" s="42"/>
      <c r="H23" s="54"/>
      <c r="I23" s="55"/>
      <c r="K23" s="45"/>
      <c r="L23" s="27"/>
      <c r="M23" s="27"/>
      <c r="N23" s="81"/>
      <c r="O23" s="58"/>
      <c r="P23" s="27"/>
      <c r="Q23" s="50"/>
      <c r="R23" s="50"/>
      <c r="S23" s="51"/>
    </row>
    <row r="24" spans="1:19" ht="15.75">
      <c r="A24" s="52"/>
      <c r="B24" s="42"/>
      <c r="C24" s="53"/>
      <c r="D24" s="41"/>
      <c r="E24" s="58"/>
      <c r="F24" s="42"/>
      <c r="G24" s="42"/>
      <c r="H24" s="54"/>
      <c r="I24" s="55"/>
      <c r="K24" s="45"/>
      <c r="L24" s="27"/>
      <c r="M24" s="27"/>
      <c r="N24" s="81"/>
      <c r="O24" s="58"/>
      <c r="P24" s="27"/>
      <c r="Q24" s="50"/>
      <c r="R24" s="50"/>
      <c r="S24" s="51"/>
    </row>
    <row r="25" spans="1:19" ht="15.75" hidden="1">
      <c r="A25" s="52"/>
      <c r="B25" s="42"/>
      <c r="C25" s="53"/>
      <c r="D25" s="41"/>
      <c r="E25" s="58"/>
      <c r="F25" s="42"/>
      <c r="G25" s="42"/>
      <c r="H25" s="54"/>
      <c r="I25" s="55"/>
      <c r="K25" s="45"/>
      <c r="L25" s="27"/>
      <c r="M25" s="27"/>
      <c r="N25" s="81"/>
      <c r="O25" s="42"/>
      <c r="P25" s="27"/>
      <c r="Q25" s="50"/>
      <c r="R25" s="50"/>
      <c r="S25" s="51"/>
    </row>
    <row r="26" spans="1:19" ht="15.75" hidden="1">
      <c r="A26" s="52"/>
      <c r="B26" s="42"/>
      <c r="C26" s="53"/>
      <c r="D26" s="41"/>
      <c r="E26" s="58"/>
      <c r="F26" s="42"/>
      <c r="G26" s="42"/>
      <c r="H26" s="54"/>
      <c r="I26" s="55"/>
      <c r="K26" s="45"/>
      <c r="L26" s="27"/>
      <c r="M26" s="27"/>
      <c r="N26" s="81"/>
      <c r="O26" s="42"/>
      <c r="P26" s="27"/>
      <c r="Q26" s="50"/>
      <c r="R26" s="50"/>
      <c r="S26" s="51"/>
    </row>
    <row r="27" spans="1:19" ht="15.75">
      <c r="A27" s="52"/>
      <c r="B27" s="42"/>
      <c r="C27" s="46">
        <v>2</v>
      </c>
      <c r="D27" s="3" t="s">
        <v>249</v>
      </c>
      <c r="E27" s="27"/>
      <c r="F27" s="42"/>
      <c r="G27" s="42"/>
      <c r="H27" s="56"/>
      <c r="I27" s="55">
        <f>H28+H34</f>
        <v>590804104</v>
      </c>
      <c r="K27" s="45"/>
      <c r="L27" s="27"/>
      <c r="M27" s="27">
        <v>2</v>
      </c>
      <c r="N27" s="81" t="s">
        <v>259</v>
      </c>
      <c r="O27" s="42"/>
      <c r="P27" s="27"/>
      <c r="Q27" s="57"/>
      <c r="R27" s="57">
        <f>SUM(Q28)</f>
        <v>7659767</v>
      </c>
      <c r="S27" s="51"/>
    </row>
    <row r="28" spans="1:19" ht="15.75">
      <c r="A28" s="45"/>
      <c r="B28" s="27"/>
      <c r="C28" s="53"/>
      <c r="D28" s="47"/>
      <c r="E28" s="27" t="s">
        <v>251</v>
      </c>
      <c r="F28" s="27"/>
      <c r="G28" s="27"/>
      <c r="H28" s="56">
        <f>SUM(H29:H31)</f>
        <v>589074104</v>
      </c>
      <c r="I28" s="55"/>
      <c r="K28" s="45"/>
      <c r="N28" s="82"/>
      <c r="O28" s="58" t="s">
        <v>0</v>
      </c>
      <c r="Q28" s="50">
        <f>Kiadás!O29</f>
        <v>7659767</v>
      </c>
      <c r="R28" s="57"/>
      <c r="S28" s="51"/>
    </row>
    <row r="29" spans="1:19" ht="15.75">
      <c r="A29" s="45"/>
      <c r="B29" s="27"/>
      <c r="C29" s="46"/>
      <c r="D29" s="47"/>
      <c r="E29" s="58" t="s">
        <v>250</v>
      </c>
      <c r="F29" s="27"/>
      <c r="G29" s="27"/>
      <c r="H29" s="54">
        <f>Bevétel!I28</f>
        <v>409039508</v>
      </c>
      <c r="I29" s="55"/>
      <c r="K29" s="45"/>
      <c r="N29" s="82"/>
      <c r="O29" s="42"/>
      <c r="Q29" s="50"/>
      <c r="R29" s="50"/>
      <c r="S29" s="51"/>
    </row>
    <row r="30" spans="1:19" ht="15.75">
      <c r="A30" s="45"/>
      <c r="B30" s="27"/>
      <c r="C30" s="62"/>
      <c r="D30" s="47"/>
      <c r="E30" s="58" t="s">
        <v>61</v>
      </c>
      <c r="F30" s="27"/>
      <c r="G30" s="27"/>
      <c r="H30" s="113">
        <f>Bevétel!I29</f>
        <v>155687492.6426938</v>
      </c>
      <c r="I30" s="55"/>
      <c r="K30" s="45"/>
      <c r="L30" s="27"/>
      <c r="M30" s="27"/>
      <c r="N30" s="81"/>
      <c r="O30" s="42"/>
      <c r="P30" s="27"/>
      <c r="Q30" s="50"/>
      <c r="R30" s="57"/>
      <c r="S30" s="51"/>
    </row>
    <row r="31" spans="1:19" ht="15.75">
      <c r="A31" s="45"/>
      <c r="B31" s="27"/>
      <c r="C31" s="62"/>
      <c r="D31" s="47"/>
      <c r="E31" s="58" t="s">
        <v>31</v>
      </c>
      <c r="F31" s="27"/>
      <c r="G31" s="27"/>
      <c r="H31" s="113">
        <f>Bevétel!I30</f>
        <v>24347103.357306205</v>
      </c>
      <c r="I31" s="55"/>
      <c r="K31" s="45"/>
      <c r="L31" s="27"/>
      <c r="M31" s="42"/>
      <c r="N31" s="82"/>
      <c r="O31" s="59"/>
      <c r="P31" s="60"/>
      <c r="Q31" s="50"/>
      <c r="R31" s="50"/>
      <c r="S31" s="51"/>
    </row>
    <row r="32" spans="1:19" ht="15.75" hidden="1">
      <c r="A32" s="45"/>
      <c r="B32" s="27"/>
      <c r="C32" s="62" t="s">
        <v>89</v>
      </c>
      <c r="D32" s="47"/>
      <c r="E32" s="58" t="s">
        <v>90</v>
      </c>
      <c r="F32" s="27"/>
      <c r="G32" s="27"/>
      <c r="H32" s="119"/>
      <c r="I32" s="55"/>
      <c r="K32" s="45"/>
      <c r="L32" s="27"/>
      <c r="M32" s="42"/>
      <c r="N32" s="82"/>
      <c r="O32" s="60"/>
      <c r="P32" s="60"/>
      <c r="Q32" s="50"/>
      <c r="R32" s="50"/>
      <c r="S32" s="51"/>
    </row>
    <row r="33" spans="1:19" ht="15.75">
      <c r="A33" s="45"/>
      <c r="B33" s="27"/>
      <c r="C33" s="63"/>
      <c r="D33" s="47"/>
      <c r="E33" s="58"/>
      <c r="F33" s="27"/>
      <c r="G33" s="27"/>
      <c r="H33" s="119"/>
      <c r="I33" s="55"/>
      <c r="K33" s="45"/>
      <c r="L33" s="27"/>
      <c r="M33" s="42"/>
      <c r="N33" s="82"/>
      <c r="O33" s="60"/>
      <c r="P33" s="60"/>
      <c r="Q33" s="85"/>
      <c r="R33" s="85"/>
      <c r="S33" s="51"/>
    </row>
    <row r="34" spans="1:19" ht="15.75">
      <c r="A34" s="45"/>
      <c r="B34" s="27"/>
      <c r="C34" s="62"/>
      <c r="D34" s="47"/>
      <c r="E34" s="61" t="s">
        <v>252</v>
      </c>
      <c r="F34" s="27"/>
      <c r="G34" s="27"/>
      <c r="H34" s="56">
        <f>H35</f>
        <v>1730000</v>
      </c>
      <c r="I34" s="55"/>
      <c r="K34" s="45"/>
      <c r="L34" s="27"/>
      <c r="M34" s="42"/>
      <c r="N34" s="82"/>
      <c r="O34" s="60"/>
      <c r="P34" s="60"/>
      <c r="Q34" s="50"/>
      <c r="R34" s="50"/>
      <c r="S34" s="51"/>
    </row>
    <row r="35" spans="1:19" ht="15.75">
      <c r="A35" s="45"/>
      <c r="B35" s="27"/>
      <c r="C35" s="62"/>
      <c r="D35" s="47"/>
      <c r="E35" s="58" t="s">
        <v>250</v>
      </c>
      <c r="F35" s="27"/>
      <c r="G35" s="27"/>
      <c r="H35" s="54">
        <f>Bevétel!I31</f>
        <v>1730000</v>
      </c>
      <c r="I35" s="55"/>
      <c r="K35" s="45"/>
      <c r="L35" s="27"/>
      <c r="M35" s="42"/>
      <c r="N35" s="82"/>
      <c r="O35" s="60"/>
      <c r="P35" s="60"/>
      <c r="Q35" s="50"/>
      <c r="R35" s="50"/>
      <c r="S35" s="51"/>
    </row>
    <row r="36" spans="1:19" ht="15.75">
      <c r="A36" s="52"/>
      <c r="B36" s="42"/>
      <c r="C36" s="53"/>
      <c r="D36" s="41"/>
      <c r="E36" s="58"/>
      <c r="F36" s="42"/>
      <c r="G36" s="42"/>
      <c r="H36" s="57"/>
      <c r="I36" s="110"/>
      <c r="K36" s="45"/>
      <c r="L36" s="27"/>
      <c r="M36" s="27"/>
      <c r="N36" s="47"/>
      <c r="O36" s="58"/>
      <c r="P36" s="42"/>
      <c r="Q36" s="50"/>
      <c r="R36" s="110"/>
      <c r="S36" s="92"/>
    </row>
    <row r="37" spans="1:19" s="96" customFormat="1" ht="15.75">
      <c r="A37" s="98" t="s">
        <v>96</v>
      </c>
      <c r="B37" s="61" t="s">
        <v>3</v>
      </c>
      <c r="C37" s="99"/>
      <c r="D37" s="100" t="s">
        <v>97</v>
      </c>
      <c r="E37" s="58"/>
      <c r="F37" s="58"/>
      <c r="G37" s="58"/>
      <c r="H37" s="106"/>
      <c r="I37" s="107">
        <f>SUM(H39)</f>
        <v>38579896</v>
      </c>
      <c r="J37" s="61"/>
      <c r="K37" s="98"/>
      <c r="L37" s="1" t="s">
        <v>3</v>
      </c>
      <c r="M37" s="61"/>
      <c r="N37" s="100" t="s">
        <v>98</v>
      </c>
      <c r="O37" s="58"/>
      <c r="P37" s="58"/>
      <c r="Q37" s="101"/>
      <c r="R37" s="115">
        <f>SUM(Q38:Q39)</f>
        <v>2384000</v>
      </c>
      <c r="S37" s="102"/>
    </row>
    <row r="38" spans="1:19" s="96" customFormat="1" ht="15.75">
      <c r="A38" s="102"/>
      <c r="B38" s="61"/>
      <c r="C38" s="103"/>
      <c r="D38" s="100" t="s">
        <v>108</v>
      </c>
      <c r="E38" s="61"/>
      <c r="F38" s="61"/>
      <c r="G38" s="61"/>
      <c r="H38" s="101"/>
      <c r="I38" s="107"/>
      <c r="J38" s="61"/>
      <c r="K38" s="98"/>
      <c r="L38" s="61"/>
      <c r="M38" s="61"/>
      <c r="N38" s="100" t="s">
        <v>101</v>
      </c>
      <c r="O38" s="58"/>
      <c r="P38" s="58"/>
      <c r="Q38" s="101"/>
      <c r="R38" s="101"/>
      <c r="S38" s="102"/>
    </row>
    <row r="39" spans="1:19" s="96" customFormat="1" ht="15.75">
      <c r="A39" s="102"/>
      <c r="B39" s="61"/>
      <c r="C39" s="103"/>
      <c r="D39" s="104"/>
      <c r="E39" s="58" t="s">
        <v>102</v>
      </c>
      <c r="F39" s="58"/>
      <c r="G39" s="58"/>
      <c r="H39" s="118">
        <f>Bevétel!I43</f>
        <v>38579896</v>
      </c>
      <c r="I39" s="107"/>
      <c r="J39" s="61"/>
      <c r="K39" s="98"/>
      <c r="L39" s="61"/>
      <c r="M39" s="61"/>
      <c r="N39" s="117"/>
      <c r="O39" s="58" t="s">
        <v>1</v>
      </c>
      <c r="P39" s="58"/>
      <c r="Q39" s="118">
        <f>Kiadás!K36</f>
        <v>2384000</v>
      </c>
      <c r="R39" s="115"/>
      <c r="S39" s="97"/>
    </row>
    <row r="40" spans="1:19" s="96" customFormat="1" ht="16.5" thickBot="1">
      <c r="A40" s="102"/>
      <c r="B40" s="61"/>
      <c r="C40" s="103"/>
      <c r="D40" s="116"/>
      <c r="E40" s="58"/>
      <c r="F40" s="58"/>
      <c r="G40" s="58"/>
      <c r="H40" s="108"/>
      <c r="I40" s="109"/>
      <c r="J40" s="61"/>
      <c r="K40" s="98"/>
      <c r="L40" s="61"/>
      <c r="M40" s="61"/>
      <c r="N40" s="117"/>
      <c r="O40" s="58"/>
      <c r="P40" s="58"/>
      <c r="Q40" s="105"/>
      <c r="R40" s="109"/>
      <c r="S40" s="97"/>
    </row>
    <row r="41" spans="1:19" ht="17.25" thickBot="1" thickTop="1">
      <c r="A41" s="24"/>
      <c r="B41" s="25"/>
      <c r="C41" s="29"/>
      <c r="D41" s="26" t="s">
        <v>262</v>
      </c>
      <c r="E41" s="25"/>
      <c r="F41" s="25"/>
      <c r="G41" s="25"/>
      <c r="H41" s="31"/>
      <c r="I41" s="111">
        <f>SUM(I8:I40)</f>
        <v>673584000</v>
      </c>
      <c r="K41" s="71"/>
      <c r="L41" s="28"/>
      <c r="M41" s="28"/>
      <c r="N41" s="26" t="s">
        <v>263</v>
      </c>
      <c r="O41" s="25"/>
      <c r="P41" s="25"/>
      <c r="Q41" s="31"/>
      <c r="R41" s="69">
        <f>SUM(R8:R40)</f>
        <v>686484000</v>
      </c>
      <c r="S41" s="92"/>
    </row>
    <row r="42" spans="1:19" ht="16.5" thickTop="1">
      <c r="A42" s="45" t="s">
        <v>261</v>
      </c>
      <c r="B42" s="27"/>
      <c r="C42" s="46"/>
      <c r="D42" s="47"/>
      <c r="E42" s="27"/>
      <c r="F42" s="27"/>
      <c r="G42" s="27"/>
      <c r="H42" s="50"/>
      <c r="I42" s="110"/>
      <c r="K42" s="45"/>
      <c r="L42" s="42"/>
      <c r="M42" s="53"/>
      <c r="N42" s="87"/>
      <c r="O42" s="88"/>
      <c r="P42" s="89"/>
      <c r="Q42" s="57"/>
      <c r="R42" s="50"/>
      <c r="S42" s="92"/>
    </row>
    <row r="43" spans="1:19" ht="15.75">
      <c r="A43" s="52"/>
      <c r="B43" s="27" t="s">
        <v>20</v>
      </c>
      <c r="C43" s="80" t="s">
        <v>253</v>
      </c>
      <c r="D43" s="61" t="s">
        <v>94</v>
      </c>
      <c r="E43" s="27"/>
      <c r="F43" s="42"/>
      <c r="G43" s="42"/>
      <c r="H43" s="113"/>
      <c r="I43" s="55">
        <f>SUM(H44:H45)</f>
        <v>20086000</v>
      </c>
      <c r="K43" s="45"/>
      <c r="L43" s="27" t="s">
        <v>20</v>
      </c>
      <c r="M43" s="27"/>
      <c r="N43" s="47" t="s">
        <v>87</v>
      </c>
      <c r="O43" s="27"/>
      <c r="P43" s="27"/>
      <c r="Q43" s="50"/>
      <c r="R43" s="57">
        <f>SUM(Q44:Q50)</f>
        <v>20086000</v>
      </c>
      <c r="S43" s="92"/>
    </row>
    <row r="44" spans="1:19" ht="15.75">
      <c r="A44" s="52"/>
      <c r="B44" s="42"/>
      <c r="C44" s="46"/>
      <c r="D44" s="41"/>
      <c r="E44" s="58" t="s">
        <v>61</v>
      </c>
      <c r="F44" s="42"/>
      <c r="G44" s="42"/>
      <c r="H44" s="113">
        <f>Bevétel!I36</f>
        <v>20086000</v>
      </c>
      <c r="I44" s="55"/>
      <c r="K44" s="52"/>
      <c r="L44" s="42"/>
      <c r="M44" s="42"/>
      <c r="N44" s="47"/>
      <c r="O44" s="42" t="s">
        <v>88</v>
      </c>
      <c r="P44" s="42"/>
      <c r="Q44" s="50">
        <f>Kiadás!K17</f>
        <v>18411000</v>
      </c>
      <c r="R44" s="50"/>
      <c r="S44" s="92"/>
    </row>
    <row r="45" spans="1:19" ht="15.75">
      <c r="A45" s="52"/>
      <c r="B45" s="42"/>
      <c r="C45" s="46"/>
      <c r="D45" s="41"/>
      <c r="E45" s="58" t="s">
        <v>31</v>
      </c>
      <c r="F45" s="42"/>
      <c r="G45" s="42"/>
      <c r="H45" s="113">
        <f>Bevétel!I37</f>
        <v>0</v>
      </c>
      <c r="I45" s="55"/>
      <c r="K45" s="45"/>
      <c r="L45" s="27"/>
      <c r="M45" s="27"/>
      <c r="N45" s="47"/>
      <c r="O45" s="58" t="s">
        <v>33</v>
      </c>
      <c r="P45" s="27"/>
      <c r="Q45" s="50">
        <f>Kiadás!K9</f>
        <v>775000</v>
      </c>
      <c r="R45" s="50"/>
      <c r="S45" s="92"/>
    </row>
    <row r="46" spans="1:19" ht="15.75">
      <c r="A46" s="52"/>
      <c r="B46" s="42"/>
      <c r="C46" s="46"/>
      <c r="D46" s="41"/>
      <c r="G46" s="42"/>
      <c r="H46" s="113"/>
      <c r="I46" s="55"/>
      <c r="K46" s="45"/>
      <c r="L46" s="27"/>
      <c r="M46" s="27"/>
      <c r="N46" s="47"/>
      <c r="O46" s="42" t="s">
        <v>40</v>
      </c>
      <c r="P46" s="27"/>
      <c r="Q46" s="50">
        <f>Kiadás!K10</f>
        <v>600000</v>
      </c>
      <c r="R46" s="50"/>
      <c r="S46" s="92"/>
    </row>
    <row r="47" spans="1:19" ht="15.75">
      <c r="A47" s="52"/>
      <c r="B47" s="42"/>
      <c r="C47" s="46">
        <v>2</v>
      </c>
      <c r="D47" s="47" t="s">
        <v>109</v>
      </c>
      <c r="E47" s="61"/>
      <c r="F47" s="27"/>
      <c r="G47" s="27"/>
      <c r="H47" s="101"/>
      <c r="I47" s="64"/>
      <c r="K47" s="45"/>
      <c r="L47" s="27"/>
      <c r="M47" s="27"/>
      <c r="N47" s="47"/>
      <c r="O47" s="58" t="s">
        <v>91</v>
      </c>
      <c r="P47" s="27"/>
      <c r="Q47" s="50">
        <f>Kiadás!K11</f>
        <v>100000</v>
      </c>
      <c r="R47" s="50"/>
      <c r="S47" s="92"/>
    </row>
    <row r="48" spans="1:19" ht="15.75">
      <c r="A48" s="52"/>
      <c r="B48" s="42"/>
      <c r="C48" s="53"/>
      <c r="D48" s="47"/>
      <c r="E48" s="58" t="s">
        <v>110</v>
      </c>
      <c r="F48" s="27"/>
      <c r="G48" s="27"/>
      <c r="H48" s="106"/>
      <c r="I48" s="64"/>
      <c r="K48" s="45"/>
      <c r="L48" s="27"/>
      <c r="M48" s="27"/>
      <c r="N48" s="47"/>
      <c r="O48" s="58" t="s">
        <v>92</v>
      </c>
      <c r="P48" s="27"/>
      <c r="Q48" s="50">
        <f>Kiadás!K12</f>
        <v>200000</v>
      </c>
      <c r="R48" s="50"/>
      <c r="S48" s="92"/>
    </row>
    <row r="49" spans="1:19" ht="15.75">
      <c r="A49" s="52"/>
      <c r="B49" s="42"/>
      <c r="C49" s="62"/>
      <c r="D49" s="47"/>
      <c r="E49" s="58" t="s">
        <v>111</v>
      </c>
      <c r="F49" s="27"/>
      <c r="G49" s="27"/>
      <c r="H49" s="106"/>
      <c r="I49" s="64"/>
      <c r="K49" s="45"/>
      <c r="L49" s="27"/>
      <c r="M49" s="27"/>
      <c r="N49" s="47"/>
      <c r="O49" s="58" t="s">
        <v>93</v>
      </c>
      <c r="P49" s="27"/>
      <c r="Q49" s="50"/>
      <c r="R49" s="50"/>
      <c r="S49" s="92"/>
    </row>
    <row r="50" spans="1:19" ht="15.75">
      <c r="A50" s="52"/>
      <c r="B50" s="42"/>
      <c r="C50" s="53"/>
      <c r="D50" s="41"/>
      <c r="E50" s="58"/>
      <c r="F50" s="42"/>
      <c r="G50" s="42"/>
      <c r="H50" s="106"/>
      <c r="I50" s="64"/>
      <c r="K50" s="45"/>
      <c r="L50" s="27"/>
      <c r="M50" s="27"/>
      <c r="N50" s="47"/>
      <c r="O50" s="58" t="s">
        <v>0</v>
      </c>
      <c r="P50" s="27"/>
      <c r="Q50" s="50"/>
      <c r="R50" s="50"/>
      <c r="S50" s="92"/>
    </row>
    <row r="51" spans="1:19" ht="15.75">
      <c r="A51" s="45"/>
      <c r="B51" s="61" t="s">
        <v>3</v>
      </c>
      <c r="C51" s="53"/>
      <c r="D51" s="47" t="s">
        <v>97</v>
      </c>
      <c r="E51" s="42"/>
      <c r="F51" s="42"/>
      <c r="G51" s="42"/>
      <c r="H51" s="50"/>
      <c r="I51" s="64">
        <f>SUM(H53)</f>
        <v>12900000</v>
      </c>
      <c r="K51" s="52"/>
      <c r="L51" s="42"/>
      <c r="M51" s="42"/>
      <c r="N51" s="41"/>
      <c r="O51" s="42"/>
      <c r="P51" s="53"/>
      <c r="Q51" s="50"/>
      <c r="R51" s="50"/>
      <c r="S51" s="91"/>
    </row>
    <row r="52" spans="1:19" ht="15.75">
      <c r="A52" s="45"/>
      <c r="B52" s="27"/>
      <c r="C52" s="46">
        <v>1</v>
      </c>
      <c r="D52" s="100" t="s">
        <v>108</v>
      </c>
      <c r="E52" s="42"/>
      <c r="F52" s="42"/>
      <c r="G52" s="42"/>
      <c r="H52" s="85"/>
      <c r="I52" s="64"/>
      <c r="K52" s="52"/>
      <c r="L52" s="42"/>
      <c r="M52" s="42"/>
      <c r="N52" s="82"/>
      <c r="O52" s="42"/>
      <c r="P52" s="53"/>
      <c r="Q52" s="85"/>
      <c r="R52" s="85"/>
      <c r="S52" s="91"/>
    </row>
    <row r="53" spans="1:19" ht="15.75">
      <c r="A53" s="45"/>
      <c r="B53" s="42"/>
      <c r="C53" s="53"/>
      <c r="D53" s="47"/>
      <c r="E53" s="42" t="s">
        <v>112</v>
      </c>
      <c r="F53" s="42"/>
      <c r="G53" s="42"/>
      <c r="H53" s="50">
        <f>Bevétel!I44</f>
        <v>12900000</v>
      </c>
      <c r="I53" s="110"/>
      <c r="K53" s="52"/>
      <c r="L53" s="42"/>
      <c r="M53" s="42"/>
      <c r="N53" s="41"/>
      <c r="O53" s="42"/>
      <c r="P53" s="53"/>
      <c r="Q53" s="50"/>
      <c r="R53" s="50"/>
      <c r="S53" s="91"/>
    </row>
    <row r="54" spans="1:19" ht="16.5" thickBot="1">
      <c r="A54" s="45"/>
      <c r="B54" s="42"/>
      <c r="C54" s="53"/>
      <c r="D54" s="47"/>
      <c r="E54" s="42"/>
      <c r="F54" s="42"/>
      <c r="G54" s="42"/>
      <c r="H54" s="50"/>
      <c r="I54" s="110"/>
      <c r="K54" s="52"/>
      <c r="L54" s="42"/>
      <c r="M54" s="42"/>
      <c r="N54" s="82"/>
      <c r="O54" s="42"/>
      <c r="P54" s="53"/>
      <c r="Q54" s="85"/>
      <c r="R54" s="85"/>
      <c r="S54" s="91"/>
    </row>
    <row r="55" spans="1:19" ht="17.25" thickBot="1" thickTop="1">
      <c r="A55" s="24"/>
      <c r="B55" s="25"/>
      <c r="C55" s="29"/>
      <c r="D55" s="26" t="s">
        <v>113</v>
      </c>
      <c r="E55" s="25"/>
      <c r="F55" s="25"/>
      <c r="G55" s="25"/>
      <c r="H55" s="31"/>
      <c r="I55" s="111">
        <f>SUM(I42:I54)</f>
        <v>32986000</v>
      </c>
      <c r="K55" s="71"/>
      <c r="L55" s="28"/>
      <c r="M55" s="28"/>
      <c r="N55" s="26" t="s">
        <v>114</v>
      </c>
      <c r="O55" s="25"/>
      <c r="P55" s="25"/>
      <c r="Q55" s="31"/>
      <c r="R55" s="111">
        <f>SUM(R42:R54)</f>
        <v>20086000</v>
      </c>
      <c r="S55" s="91"/>
    </row>
    <row r="56" spans="1:19" ht="17.25" thickBot="1" thickTop="1">
      <c r="A56" s="456" t="s">
        <v>104</v>
      </c>
      <c r="B56" s="457"/>
      <c r="C56" s="457"/>
      <c r="D56" s="457"/>
      <c r="E56" s="457"/>
      <c r="F56" s="457"/>
      <c r="G56" s="457"/>
      <c r="H56" s="461"/>
      <c r="I56" s="112">
        <f>SUM(I41,I55)</f>
        <v>706570000</v>
      </c>
      <c r="K56" s="456" t="s">
        <v>105</v>
      </c>
      <c r="L56" s="457"/>
      <c r="M56" s="457"/>
      <c r="N56" s="457"/>
      <c r="O56" s="457"/>
      <c r="P56" s="457"/>
      <c r="Q56" s="461"/>
      <c r="R56" s="57">
        <f>R41+R55</f>
        <v>706570000</v>
      </c>
      <c r="S56" s="92"/>
    </row>
    <row r="57" spans="1:19" ht="16.5" thickTop="1">
      <c r="A57" s="86"/>
      <c r="B57" s="86"/>
      <c r="C57" s="86"/>
      <c r="D57" s="86"/>
      <c r="E57" s="86"/>
      <c r="F57" s="86"/>
      <c r="G57" s="86"/>
      <c r="H57" s="94"/>
      <c r="I57" s="94"/>
      <c r="K57" s="86"/>
      <c r="L57" s="86"/>
      <c r="M57" s="86"/>
      <c r="N57" s="86"/>
      <c r="O57" s="86"/>
      <c r="P57" s="86"/>
      <c r="Q57" s="94"/>
      <c r="R57" s="94"/>
      <c r="S57" s="76"/>
    </row>
    <row r="58" spans="1:18" ht="15.75">
      <c r="A58" s="42"/>
      <c r="B58" s="42"/>
      <c r="C58" s="42"/>
      <c r="D58" s="42"/>
      <c r="E58" s="42"/>
      <c r="F58" s="42"/>
      <c r="G58" s="42"/>
      <c r="H58" s="42"/>
      <c r="I58" s="42"/>
      <c r="J58" s="27"/>
      <c r="K58" s="42"/>
      <c r="L58" s="42"/>
      <c r="M58" s="42"/>
      <c r="N58" s="42"/>
      <c r="O58" s="42"/>
      <c r="P58" s="42"/>
      <c r="Q58" s="77"/>
      <c r="R58" s="42"/>
    </row>
    <row r="59" spans="1:19" ht="15.75">
      <c r="A59" s="42"/>
      <c r="B59" s="42"/>
      <c r="C59" s="42"/>
      <c r="D59" s="42"/>
      <c r="E59" s="42"/>
      <c r="F59" s="42"/>
      <c r="G59" s="42"/>
      <c r="H59" s="77"/>
      <c r="I59" s="77"/>
      <c r="J59" s="42"/>
      <c r="K59" s="27"/>
      <c r="L59" s="27"/>
      <c r="M59" s="27"/>
      <c r="N59" s="27"/>
      <c r="O59" s="27"/>
      <c r="P59" s="42"/>
      <c r="Q59" s="76"/>
      <c r="R59" s="95"/>
      <c r="S59" s="78"/>
    </row>
    <row r="60" spans="1:19" ht="15.75">
      <c r="A60" s="42"/>
      <c r="B60" s="42"/>
      <c r="C60" s="42"/>
      <c r="D60" s="42"/>
      <c r="E60" s="42"/>
      <c r="F60" s="42"/>
      <c r="G60" s="42"/>
      <c r="H60" s="77"/>
      <c r="I60" s="77"/>
      <c r="J60" s="42"/>
      <c r="K60" s="42"/>
      <c r="L60" s="42"/>
      <c r="M60" s="42"/>
      <c r="N60" s="42"/>
      <c r="O60" s="42"/>
      <c r="P60" s="42"/>
      <c r="Q60" s="77"/>
      <c r="R60" s="95"/>
      <c r="S60" s="95"/>
    </row>
    <row r="61" spans="1:19" ht="15.75">
      <c r="A61" s="42"/>
      <c r="B61" s="42"/>
      <c r="C61" s="42"/>
      <c r="D61" s="42"/>
      <c r="E61" s="42"/>
      <c r="F61" s="42"/>
      <c r="G61" s="42"/>
      <c r="H61" s="77"/>
      <c r="I61" s="77"/>
      <c r="J61" s="42"/>
      <c r="K61" s="42"/>
      <c r="L61" s="42"/>
      <c r="M61" s="42"/>
      <c r="N61" s="42"/>
      <c r="O61" s="42"/>
      <c r="P61" s="42"/>
      <c r="Q61" s="77"/>
      <c r="R61" s="95"/>
      <c r="S61" s="95"/>
    </row>
    <row r="62" spans="1:19" ht="15.75">
      <c r="A62" s="42"/>
      <c r="B62" s="42"/>
      <c r="C62" s="42"/>
      <c r="D62" s="42"/>
      <c r="E62" s="42"/>
      <c r="F62" s="42"/>
      <c r="G62" s="42"/>
      <c r="H62" s="77"/>
      <c r="I62" s="77"/>
      <c r="J62" s="42"/>
      <c r="K62" s="42"/>
      <c r="L62" s="42"/>
      <c r="M62" s="42"/>
      <c r="N62" s="42"/>
      <c r="O62" s="42"/>
      <c r="P62" s="42"/>
      <c r="Q62" s="77"/>
      <c r="R62" s="95"/>
      <c r="S62" s="95"/>
    </row>
    <row r="63" spans="1:19" ht="15.75">
      <c r="A63" s="42"/>
      <c r="B63" s="42"/>
      <c r="C63" s="42"/>
      <c r="D63" s="42"/>
      <c r="E63" s="42"/>
      <c r="F63" s="42"/>
      <c r="G63" s="42"/>
      <c r="H63" s="77"/>
      <c r="I63" s="77"/>
      <c r="J63" s="42"/>
      <c r="K63" s="42"/>
      <c r="L63" s="42"/>
      <c r="M63" s="42"/>
      <c r="N63" s="42"/>
      <c r="O63" s="42"/>
      <c r="P63" s="42"/>
      <c r="Q63" s="77"/>
      <c r="R63" s="95"/>
      <c r="S63" s="95"/>
    </row>
    <row r="64" spans="1:19" ht="15.75">
      <c r="A64" s="42"/>
      <c r="B64" s="42"/>
      <c r="C64" s="42"/>
      <c r="D64" s="42"/>
      <c r="E64" s="42"/>
      <c r="F64" s="42"/>
      <c r="G64" s="42"/>
      <c r="H64" s="77"/>
      <c r="I64" s="77"/>
      <c r="J64" s="42"/>
      <c r="K64" s="42"/>
      <c r="L64" s="42"/>
      <c r="M64" s="42"/>
      <c r="N64" s="42"/>
      <c r="O64" s="42"/>
      <c r="P64" s="42"/>
      <c r="Q64" s="77"/>
      <c r="R64" s="95"/>
      <c r="S64" s="95"/>
    </row>
    <row r="65" spans="1:19" ht="15.75">
      <c r="A65" s="27"/>
      <c r="B65" s="42"/>
      <c r="C65" s="42"/>
      <c r="D65" s="27"/>
      <c r="E65" s="42"/>
      <c r="F65" s="42"/>
      <c r="G65" s="42"/>
      <c r="H65" s="77"/>
      <c r="I65" s="76"/>
      <c r="J65" s="42"/>
      <c r="K65" s="42"/>
      <c r="L65" s="42"/>
      <c r="M65" s="42"/>
      <c r="N65" s="42"/>
      <c r="O65" s="42"/>
      <c r="P65" s="42"/>
      <c r="Q65" s="77"/>
      <c r="R65" s="95"/>
      <c r="S65" s="95"/>
    </row>
    <row r="66" spans="1:19" ht="15.75">
      <c r="A66" s="27"/>
      <c r="B66" s="42"/>
      <c r="C66" s="42"/>
      <c r="D66" s="27"/>
      <c r="E66" s="42"/>
      <c r="F66" s="42"/>
      <c r="G66" s="42"/>
      <c r="H66" s="77"/>
      <c r="I66" s="77"/>
      <c r="J66" s="42"/>
      <c r="K66" s="42"/>
      <c r="L66" s="42"/>
      <c r="M66" s="42"/>
      <c r="N66" s="42"/>
      <c r="O66" s="42"/>
      <c r="P66" s="42"/>
      <c r="Q66" s="77"/>
      <c r="R66" s="95"/>
      <c r="S66" s="95"/>
    </row>
    <row r="67" spans="1:19" ht="15.75">
      <c r="A67" s="27"/>
      <c r="B67" s="42"/>
      <c r="C67" s="42"/>
      <c r="D67" s="27"/>
      <c r="E67" s="42"/>
      <c r="F67" s="42"/>
      <c r="G67" s="42"/>
      <c r="H67" s="77"/>
      <c r="I67" s="77"/>
      <c r="J67" s="42"/>
      <c r="K67" s="42"/>
      <c r="L67" s="42"/>
      <c r="M67" s="42"/>
      <c r="N67" s="42"/>
      <c r="O67" s="42"/>
      <c r="P67" s="42"/>
      <c r="Q67" s="77"/>
      <c r="R67" s="95"/>
      <c r="S67" s="95"/>
    </row>
    <row r="68" spans="1:19" ht="15.75">
      <c r="A68" s="27"/>
      <c r="B68" s="42"/>
      <c r="C68" s="42"/>
      <c r="D68" s="27"/>
      <c r="E68" s="42"/>
      <c r="F68" s="42"/>
      <c r="G68" s="42"/>
      <c r="H68" s="77"/>
      <c r="I68" s="77"/>
      <c r="J68" s="42"/>
      <c r="K68" s="42"/>
      <c r="L68" s="42"/>
      <c r="M68" s="42"/>
      <c r="N68" s="42"/>
      <c r="O68" s="42"/>
      <c r="P68" s="42"/>
      <c r="Q68" s="77"/>
      <c r="R68" s="95"/>
      <c r="S68" s="95"/>
    </row>
    <row r="69" spans="1:19" ht="15.75">
      <c r="A69" s="27"/>
      <c r="B69" s="27"/>
      <c r="C69" s="27"/>
      <c r="D69" s="27"/>
      <c r="E69" s="27"/>
      <c r="F69" s="27"/>
      <c r="G69" s="27"/>
      <c r="H69" s="76"/>
      <c r="I69" s="76"/>
      <c r="J69" s="42"/>
      <c r="K69" s="42"/>
      <c r="L69" s="42"/>
      <c r="M69" s="42"/>
      <c r="N69" s="27"/>
      <c r="O69" s="27"/>
      <c r="P69" s="27"/>
      <c r="Q69" s="77"/>
      <c r="R69" s="95"/>
      <c r="S69" s="78"/>
    </row>
    <row r="70" spans="1:19" ht="15.75">
      <c r="A70" s="27"/>
      <c r="B70" s="27"/>
      <c r="C70" s="27"/>
      <c r="D70" s="27"/>
      <c r="E70" s="27"/>
      <c r="F70" s="27"/>
      <c r="G70" s="27"/>
      <c r="H70" s="76"/>
      <c r="I70" s="76"/>
      <c r="J70" s="27"/>
      <c r="K70" s="27"/>
      <c r="L70" s="27"/>
      <c r="M70" s="27"/>
      <c r="N70" s="27"/>
      <c r="O70" s="27"/>
      <c r="P70" s="27"/>
      <c r="Q70" s="76"/>
      <c r="R70" s="76"/>
      <c r="S70" s="76"/>
    </row>
    <row r="71" spans="1:19" ht="15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77"/>
      <c r="R71" s="42"/>
      <c r="S71" s="42"/>
    </row>
    <row r="72" spans="1:19" ht="15.75">
      <c r="A72" s="42"/>
      <c r="B72" s="42"/>
      <c r="C72" s="42"/>
      <c r="D72" s="42"/>
      <c r="E72" s="42"/>
      <c r="F72" s="42"/>
      <c r="G72" s="42"/>
      <c r="H72" s="42"/>
      <c r="I72" s="42" t="s">
        <v>115</v>
      </c>
      <c r="J72" s="42"/>
      <c r="K72" s="42"/>
      <c r="L72" s="42"/>
      <c r="M72" s="42"/>
      <c r="N72" s="42"/>
      <c r="O72" s="42"/>
      <c r="P72" s="42"/>
      <c r="Q72" s="77"/>
      <c r="R72" s="42"/>
      <c r="S72" s="42"/>
    </row>
  </sheetData>
  <sheetProtection/>
  <mergeCells count="9">
    <mergeCell ref="A56:H56"/>
    <mergeCell ref="K56:Q56"/>
    <mergeCell ref="A1:R1"/>
    <mergeCell ref="A2:R2"/>
    <mergeCell ref="A3:R3"/>
    <mergeCell ref="A6:I6"/>
    <mergeCell ref="K6:R6"/>
    <mergeCell ref="E15:G15"/>
    <mergeCell ref="E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C60"/>
  <sheetViews>
    <sheetView zoomScalePageLayoutView="0" workbookViewId="0" topLeftCell="A1">
      <pane xSplit="5" ySplit="7" topLeftCell="Q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9" sqref="K9"/>
    </sheetView>
  </sheetViews>
  <sheetFormatPr defaultColWidth="9.140625" defaultRowHeight="12.75"/>
  <cols>
    <col min="1" max="1" width="4.28125" style="42" customWidth="1"/>
    <col min="2" max="2" width="3.57421875" style="42" customWidth="1"/>
    <col min="3" max="3" width="5.8515625" style="42" customWidth="1"/>
    <col min="4" max="4" width="3.7109375" style="42" customWidth="1"/>
    <col min="5" max="7" width="9.140625" style="42" customWidth="1"/>
    <col min="8" max="8" width="13.140625" style="42" bestFit="1" customWidth="1"/>
    <col min="9" max="9" width="11.8515625" style="42" bestFit="1" customWidth="1"/>
    <col min="10" max="10" width="13.7109375" style="42" customWidth="1"/>
    <col min="11" max="11" width="13.421875" style="42" customWidth="1"/>
    <col min="12" max="13" width="4.00390625" style="42" customWidth="1"/>
    <col min="14" max="14" width="10.7109375" style="42" customWidth="1"/>
    <col min="15" max="15" width="13.57421875" style="42" customWidth="1"/>
    <col min="16" max="16" width="11.8515625" style="42" bestFit="1" customWidth="1"/>
    <col min="17" max="17" width="12.421875" style="42" bestFit="1" customWidth="1"/>
    <col min="18" max="18" width="12.140625" style="42" customWidth="1"/>
    <col min="19" max="19" width="10.8515625" style="42" bestFit="1" customWidth="1"/>
    <col min="20" max="20" width="12.7109375" style="42" customWidth="1"/>
    <col min="21" max="21" width="12.28125" style="42" customWidth="1"/>
    <col min="22" max="22" width="13.57421875" style="42" customWidth="1"/>
    <col min="23" max="23" width="13.00390625" style="42" customWidth="1"/>
    <col min="24" max="24" width="15.00390625" style="434" customWidth="1"/>
    <col min="25" max="25" width="16.8515625" style="58" customWidth="1"/>
    <col min="26" max="26" width="16.8515625" style="42" customWidth="1"/>
    <col min="27" max="27" width="13.421875" style="42" customWidth="1"/>
    <col min="28" max="16384" width="9.140625" style="42" customWidth="1"/>
  </cols>
  <sheetData>
    <row r="1" spans="1:29" ht="15.75">
      <c r="A1" s="463" t="s">
        <v>71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Z1" s="77"/>
      <c r="AA1" s="77"/>
      <c r="AB1" s="77"/>
      <c r="AC1" s="77"/>
    </row>
    <row r="2" spans="1:29" ht="15.75">
      <c r="A2" s="463" t="s">
        <v>296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Z2" s="77"/>
      <c r="AA2" s="77"/>
      <c r="AB2" s="77"/>
      <c r="AC2" s="77"/>
    </row>
    <row r="3" spans="1:29" ht="15.7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123" t="s">
        <v>319</v>
      </c>
      <c r="Z3" s="77"/>
      <c r="AA3" s="77"/>
      <c r="AB3" s="77"/>
      <c r="AC3" s="77"/>
    </row>
    <row r="4" spans="1:29" ht="16.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79"/>
      <c r="R4" s="79"/>
      <c r="S4" s="58"/>
      <c r="T4" s="58"/>
      <c r="U4" s="58"/>
      <c r="V4" s="79"/>
      <c r="W4" s="79"/>
      <c r="X4" s="210" t="s">
        <v>284</v>
      </c>
      <c r="Z4" s="77"/>
      <c r="AA4" s="77"/>
      <c r="AB4" s="77"/>
      <c r="AC4" s="77"/>
    </row>
    <row r="5" spans="1:29" s="27" customFormat="1" ht="16.5" thickTop="1">
      <c r="A5" s="387" t="s">
        <v>5</v>
      </c>
      <c r="B5" s="388" t="s">
        <v>6</v>
      </c>
      <c r="C5" s="388" t="s">
        <v>7</v>
      </c>
      <c r="D5" s="388" t="s">
        <v>5</v>
      </c>
      <c r="E5" s="388" t="s">
        <v>8</v>
      </c>
      <c r="F5" s="464" t="s">
        <v>297</v>
      </c>
      <c r="G5" s="465"/>
      <c r="H5" s="465"/>
      <c r="I5" s="465"/>
      <c r="J5" s="465"/>
      <c r="K5" s="465"/>
      <c r="L5" s="465"/>
      <c r="M5" s="465"/>
      <c r="N5" s="465"/>
      <c r="O5" s="466"/>
      <c r="P5" s="467" t="s">
        <v>9</v>
      </c>
      <c r="Q5" s="465"/>
      <c r="R5" s="465"/>
      <c r="S5" s="465"/>
      <c r="T5" s="465"/>
      <c r="U5" s="465"/>
      <c r="V5" s="465"/>
      <c r="W5" s="465"/>
      <c r="X5" s="466"/>
      <c r="Y5" s="451"/>
      <c r="Z5" s="76"/>
      <c r="AA5" s="76"/>
      <c r="AB5" s="76"/>
      <c r="AC5" s="76"/>
    </row>
    <row r="6" spans="1:29" s="27" customFormat="1" ht="54" customHeight="1" thickBot="1">
      <c r="A6" s="389" t="s">
        <v>10</v>
      </c>
      <c r="B6" s="390" t="s">
        <v>10</v>
      </c>
      <c r="C6" s="390" t="s">
        <v>11</v>
      </c>
      <c r="D6" s="390" t="s">
        <v>12</v>
      </c>
      <c r="E6" s="390" t="s">
        <v>12</v>
      </c>
      <c r="F6" s="390" t="s">
        <v>13</v>
      </c>
      <c r="G6" s="391"/>
      <c r="H6" s="391" t="s">
        <v>14</v>
      </c>
      <c r="I6" s="391" t="s">
        <v>15</v>
      </c>
      <c r="J6" s="391" t="s">
        <v>16</v>
      </c>
      <c r="K6" s="391" t="s">
        <v>68</v>
      </c>
      <c r="L6" s="391" t="s">
        <v>41</v>
      </c>
      <c r="M6" s="391" t="s">
        <v>17</v>
      </c>
      <c r="N6" s="391" t="s">
        <v>258</v>
      </c>
      <c r="O6" s="392" t="s">
        <v>18</v>
      </c>
      <c r="P6" s="393" t="s">
        <v>19</v>
      </c>
      <c r="Q6" s="394" t="s">
        <v>298</v>
      </c>
      <c r="R6" s="394" t="s">
        <v>299</v>
      </c>
      <c r="S6" s="391" t="s">
        <v>300</v>
      </c>
      <c r="T6" s="391" t="s">
        <v>301</v>
      </c>
      <c r="U6" s="391" t="s">
        <v>302</v>
      </c>
      <c r="V6" s="394" t="s">
        <v>303</v>
      </c>
      <c r="W6" s="394" t="s">
        <v>304</v>
      </c>
      <c r="X6" s="395" t="s">
        <v>18</v>
      </c>
      <c r="Y6" s="452"/>
      <c r="Z6" s="76"/>
      <c r="AA6" s="76"/>
      <c r="AB6" s="76"/>
      <c r="AC6" s="76"/>
    </row>
    <row r="7" spans="1:29" ht="16.5" thickTop="1">
      <c r="A7" s="396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8"/>
      <c r="P7" s="396"/>
      <c r="Q7" s="399"/>
      <c r="R7" s="400"/>
      <c r="S7" s="397"/>
      <c r="T7" s="397"/>
      <c r="U7" s="397"/>
      <c r="V7" s="400"/>
      <c r="W7" s="400"/>
      <c r="X7" s="401"/>
      <c r="Z7" s="77"/>
      <c r="AA7" s="77"/>
      <c r="AB7" s="77"/>
      <c r="AC7" s="77"/>
    </row>
    <row r="8" spans="1:29" s="27" customFormat="1" ht="15.75">
      <c r="A8" s="402"/>
      <c r="B8" s="135"/>
      <c r="C8" s="135" t="s">
        <v>20</v>
      </c>
      <c r="D8" s="135" t="s">
        <v>37</v>
      </c>
      <c r="E8" s="135"/>
      <c r="F8" s="135"/>
      <c r="G8" s="135"/>
      <c r="H8" s="403">
        <f>SUM(H9,H11,H12,H10)</f>
        <v>270457000</v>
      </c>
      <c r="I8" s="403">
        <f>SUM(I9,I10,I11,I12)</f>
        <v>47956719</v>
      </c>
      <c r="J8" s="403">
        <f>SUM(J9,J10,J11,J12)</f>
        <v>26784000</v>
      </c>
      <c r="K8" s="403">
        <f>SUM(K9,K10,K11,K12)</f>
        <v>1675000</v>
      </c>
      <c r="L8" s="403">
        <f>SUM(L9,L10,L11,L12)</f>
        <v>0</v>
      </c>
      <c r="M8" s="403">
        <f>SUM(M9,M10,M11,M12)</f>
        <v>0</v>
      </c>
      <c r="N8" s="403">
        <v>0</v>
      </c>
      <c r="O8" s="404">
        <f>SUM(O9,O10,O11,O12)</f>
        <v>346872719</v>
      </c>
      <c r="P8" s="405">
        <f>SUM(P9,P10,P11,P12)</f>
        <v>4300000</v>
      </c>
      <c r="Q8" s="406">
        <f>SUM(Q9:Q13)</f>
        <v>226259982</v>
      </c>
      <c r="R8" s="406">
        <f>SUM(R9:R13)</f>
        <v>30844898</v>
      </c>
      <c r="S8" s="406">
        <f>SUM(S9,S10,S11,S12)</f>
        <v>0</v>
      </c>
      <c r="T8" s="406">
        <f>SUM(T9:T13)</f>
        <v>1572719</v>
      </c>
      <c r="U8" s="406">
        <f>SUM(U9:U12)</f>
        <v>1503921</v>
      </c>
      <c r="V8" s="406">
        <f>SUM(V9,V10)</f>
        <v>75395018</v>
      </c>
      <c r="W8" s="406">
        <f>SUM(W10,W11,W12)</f>
        <v>6996181</v>
      </c>
      <c r="X8" s="407">
        <f>SUM(X9:X12)</f>
        <v>346872719</v>
      </c>
      <c r="Y8" s="414"/>
      <c r="Z8" s="76"/>
      <c r="AA8" s="76"/>
      <c r="AB8" s="76"/>
      <c r="AC8" s="76"/>
    </row>
    <row r="9" spans="1:29" ht="15.75">
      <c r="A9" s="408"/>
      <c r="B9" s="141"/>
      <c r="C9" s="141"/>
      <c r="D9" s="141"/>
      <c r="E9" s="141" t="s">
        <v>33</v>
      </c>
      <c r="F9" s="141"/>
      <c r="G9" s="141"/>
      <c r="H9" s="409">
        <v>174570000</v>
      </c>
      <c r="I9" s="409">
        <v>32531719</v>
      </c>
      <c r="J9" s="409">
        <v>14647000</v>
      </c>
      <c r="K9" s="409">
        <f>775000</f>
        <v>775000</v>
      </c>
      <c r="L9" s="409"/>
      <c r="M9" s="409"/>
      <c r="N9" s="409"/>
      <c r="O9" s="410">
        <f>SUM(H9:N9)</f>
        <v>222523719</v>
      </c>
      <c r="P9" s="411"/>
      <c r="Q9" s="412">
        <f>175792335-432000+783647</f>
        <v>176143982</v>
      </c>
      <c r="R9" s="140"/>
      <c r="S9" s="409"/>
      <c r="T9" s="409">
        <v>1572719</v>
      </c>
      <c r="U9" s="409"/>
      <c r="V9" s="140">
        <f>O9-Q9-T9</f>
        <v>44807018</v>
      </c>
      <c r="W9" s="140"/>
      <c r="X9" s="413">
        <f>SUM(P9:W9)</f>
        <v>222523719</v>
      </c>
      <c r="Y9" s="414"/>
      <c r="Z9" s="77"/>
      <c r="AA9" s="77"/>
      <c r="AB9" s="77"/>
      <c r="AC9" s="77"/>
    </row>
    <row r="10" spans="1:29" ht="15.75">
      <c r="A10" s="408"/>
      <c r="B10" s="141"/>
      <c r="C10" s="141"/>
      <c r="D10" s="141"/>
      <c r="E10" s="141" t="s">
        <v>40</v>
      </c>
      <c r="F10" s="141"/>
      <c r="G10" s="141"/>
      <c r="H10" s="409">
        <v>66526000</v>
      </c>
      <c r="I10" s="409">
        <v>10707000</v>
      </c>
      <c r="J10" s="409">
        <v>7171000</v>
      </c>
      <c r="K10" s="409">
        <v>600000</v>
      </c>
      <c r="L10" s="409"/>
      <c r="M10" s="409"/>
      <c r="N10" s="409"/>
      <c r="O10" s="410">
        <f>SUM(H10:N10)</f>
        <v>85004000</v>
      </c>
      <c r="P10" s="411">
        <v>4300000</v>
      </c>
      <c r="Q10" s="412">
        <v>50116000</v>
      </c>
      <c r="R10" s="140"/>
      <c r="S10" s="409"/>
      <c r="T10" s="409"/>
      <c r="U10" s="409"/>
      <c r="V10" s="140">
        <f>O10-P10-Q10</f>
        <v>30588000</v>
      </c>
      <c r="W10" s="140"/>
      <c r="X10" s="413">
        <f>SUM(P10:W10)</f>
        <v>85004000</v>
      </c>
      <c r="Y10" s="414"/>
      <c r="Z10" s="77"/>
      <c r="AA10" s="77"/>
      <c r="AB10" s="77"/>
      <c r="AC10" s="77"/>
    </row>
    <row r="11" spans="1:29" ht="15.75">
      <c r="A11" s="408"/>
      <c r="B11" s="141"/>
      <c r="C11" s="141"/>
      <c r="D11" s="141"/>
      <c r="E11" s="141" t="s">
        <v>38</v>
      </c>
      <c r="F11" s="141"/>
      <c r="G11" s="141"/>
      <c r="H11" s="409">
        <v>12060000</v>
      </c>
      <c r="I11" s="409">
        <v>1926000</v>
      </c>
      <c r="J11" s="409">
        <v>2072000</v>
      </c>
      <c r="K11" s="409">
        <v>100000</v>
      </c>
      <c r="L11" s="409"/>
      <c r="M11" s="409"/>
      <c r="N11" s="409"/>
      <c r="O11" s="410">
        <f>SUM(H11:N11)</f>
        <v>16158000</v>
      </c>
      <c r="P11" s="411"/>
      <c r="Q11" s="141"/>
      <c r="R11" s="412">
        <f>16941647-783647</f>
        <v>16158000</v>
      </c>
      <c r="S11" s="409"/>
      <c r="T11" s="409"/>
      <c r="U11" s="409">
        <v>0</v>
      </c>
      <c r="V11" s="140"/>
      <c r="W11" s="140"/>
      <c r="X11" s="413">
        <f>SUM(P11:W11)</f>
        <v>16158000</v>
      </c>
      <c r="Y11" s="414"/>
      <c r="Z11" s="77"/>
      <c r="AA11" s="77"/>
      <c r="AB11" s="77"/>
      <c r="AC11" s="77"/>
    </row>
    <row r="12" spans="1:29" ht="15.75">
      <c r="A12" s="408"/>
      <c r="B12" s="141"/>
      <c r="C12" s="141"/>
      <c r="D12" s="141"/>
      <c r="E12" s="141" t="s">
        <v>39</v>
      </c>
      <c r="F12" s="141"/>
      <c r="G12" s="141"/>
      <c r="H12" s="409">
        <v>17301000</v>
      </c>
      <c r="I12" s="409">
        <v>2792000</v>
      </c>
      <c r="J12" s="409">
        <v>2894000</v>
      </c>
      <c r="K12" s="409">
        <v>200000</v>
      </c>
      <c r="L12" s="409"/>
      <c r="M12" s="409"/>
      <c r="N12" s="409"/>
      <c r="O12" s="410">
        <f>SUM(H12:N12)</f>
        <v>23187000</v>
      </c>
      <c r="P12" s="411"/>
      <c r="Q12" s="141"/>
      <c r="R12" s="412">
        <v>14686898</v>
      </c>
      <c r="S12" s="409"/>
      <c r="T12" s="409"/>
      <c r="U12" s="409">
        <v>1503921</v>
      </c>
      <c r="V12" s="140"/>
      <c r="W12" s="140">
        <f>'[1]Település'!J11</f>
        <v>6996181</v>
      </c>
      <c r="X12" s="413">
        <f>SUM(P12:W12)</f>
        <v>23187000</v>
      </c>
      <c r="Y12" s="414"/>
      <c r="Z12" s="79"/>
      <c r="AA12" s="77"/>
      <c r="AB12" s="77"/>
      <c r="AC12" s="77"/>
    </row>
    <row r="13" spans="1:29" ht="15.75">
      <c r="A13" s="408"/>
      <c r="B13" s="141"/>
      <c r="C13" s="141"/>
      <c r="D13" s="141"/>
      <c r="E13" s="141"/>
      <c r="F13" s="141"/>
      <c r="G13" s="141"/>
      <c r="H13" s="409"/>
      <c r="I13" s="409"/>
      <c r="J13" s="409"/>
      <c r="K13" s="409"/>
      <c r="L13" s="409"/>
      <c r="M13" s="409"/>
      <c r="N13" s="409"/>
      <c r="O13" s="410"/>
      <c r="P13" s="411"/>
      <c r="Q13" s="412"/>
      <c r="R13" s="140"/>
      <c r="S13" s="409"/>
      <c r="T13" s="409"/>
      <c r="U13" s="409"/>
      <c r="V13" s="140"/>
      <c r="W13" s="140"/>
      <c r="X13" s="413"/>
      <c r="Y13" s="414"/>
      <c r="Z13" s="79"/>
      <c r="AA13" s="77"/>
      <c r="AB13" s="77"/>
      <c r="AC13" s="77"/>
    </row>
    <row r="14" spans="1:29" s="27" customFormat="1" ht="15.75">
      <c r="A14" s="402"/>
      <c r="B14" s="135"/>
      <c r="C14" s="135" t="s">
        <v>3</v>
      </c>
      <c r="D14" s="135" t="s">
        <v>66</v>
      </c>
      <c r="E14" s="135"/>
      <c r="F14" s="135"/>
      <c r="G14" s="135"/>
      <c r="H14" s="403">
        <v>53621461</v>
      </c>
      <c r="I14" s="403">
        <v>8569059</v>
      </c>
      <c r="J14" s="403">
        <v>11771850</v>
      </c>
      <c r="K14" s="403">
        <v>0</v>
      </c>
      <c r="L14" s="403"/>
      <c r="M14" s="403"/>
      <c r="N14" s="403"/>
      <c r="O14" s="404">
        <f>SUM(H14:N14)</f>
        <v>73962370</v>
      </c>
      <c r="P14" s="405"/>
      <c r="Q14" s="454">
        <f>6404447+14600000+4306709+8966864</f>
        <v>34278020</v>
      </c>
      <c r="R14" s="454">
        <f>20910000-4306709+6633617</f>
        <v>23236908</v>
      </c>
      <c r="S14" s="403"/>
      <c r="T14" s="403"/>
      <c r="U14" s="403">
        <v>6993761</v>
      </c>
      <c r="V14" s="454">
        <f>'[1]Település elszámolás alp.'!G23</f>
        <v>9453681.306925321</v>
      </c>
      <c r="W14" s="454">
        <f>Település!G22-U14</f>
        <v>-0.3069253209978342</v>
      </c>
      <c r="X14" s="407">
        <f>SUM(P14:W14)-U14</f>
        <v>66968609</v>
      </c>
      <c r="Y14" s="414"/>
      <c r="Z14" s="385"/>
      <c r="AA14" s="76"/>
      <c r="AB14" s="76"/>
      <c r="AC14" s="76"/>
    </row>
    <row r="15" spans="1:29" ht="15.75">
      <c r="A15" s="408"/>
      <c r="B15" s="141"/>
      <c r="C15" s="141"/>
      <c r="D15" s="141"/>
      <c r="E15" s="141"/>
      <c r="F15" s="141"/>
      <c r="G15" s="141"/>
      <c r="H15" s="409"/>
      <c r="I15" s="409"/>
      <c r="J15" s="409"/>
      <c r="K15" s="409"/>
      <c r="L15" s="409"/>
      <c r="M15" s="409"/>
      <c r="N15" s="409"/>
      <c r="O15" s="410"/>
      <c r="P15" s="411"/>
      <c r="Q15" s="412"/>
      <c r="R15" s="140"/>
      <c r="S15" s="409"/>
      <c r="T15" s="409"/>
      <c r="U15" s="409"/>
      <c r="V15" s="140"/>
      <c r="W15" s="140"/>
      <c r="X15" s="413"/>
      <c r="Y15" s="414"/>
      <c r="Z15" s="79"/>
      <c r="AA15" s="77"/>
      <c r="AB15" s="77"/>
      <c r="AC15" s="77"/>
    </row>
    <row r="16" spans="1:29" ht="15.75">
      <c r="A16" s="408"/>
      <c r="B16" s="141"/>
      <c r="C16" s="141"/>
      <c r="D16" s="141"/>
      <c r="E16" s="141"/>
      <c r="F16" s="141"/>
      <c r="G16" s="141"/>
      <c r="H16" s="409"/>
      <c r="I16" s="409"/>
      <c r="J16" s="409"/>
      <c r="K16" s="409"/>
      <c r="L16" s="409"/>
      <c r="M16" s="409"/>
      <c r="N16" s="409"/>
      <c r="O16" s="410"/>
      <c r="P16" s="411"/>
      <c r="Q16" s="412"/>
      <c r="R16" s="140"/>
      <c r="S16" s="409"/>
      <c r="T16" s="409"/>
      <c r="U16" s="409"/>
      <c r="V16" s="140"/>
      <c r="W16" s="140"/>
      <c r="X16" s="413"/>
      <c r="Y16" s="414"/>
      <c r="Z16" s="453"/>
      <c r="AA16" s="77"/>
      <c r="AB16" s="77"/>
      <c r="AC16" s="77"/>
    </row>
    <row r="17" spans="1:29" s="27" customFormat="1" ht="15.75">
      <c r="A17" s="402"/>
      <c r="B17" s="135"/>
      <c r="C17" s="135" t="s">
        <v>2</v>
      </c>
      <c r="D17" s="135" t="s">
        <v>21</v>
      </c>
      <c r="E17" s="135"/>
      <c r="F17" s="135"/>
      <c r="G17" s="135"/>
      <c r="H17" s="403">
        <f>SUM(H18:H26)</f>
        <v>151774000</v>
      </c>
      <c r="I17" s="403">
        <f>SUM(I18:I27)</f>
        <v>27574880</v>
      </c>
      <c r="J17" s="403">
        <f>SUM(J18:J27)</f>
        <v>77931264</v>
      </c>
      <c r="K17" s="403">
        <f>SUM(K18:K27)</f>
        <v>18411000</v>
      </c>
      <c r="L17" s="403">
        <f>SUM(L19:L25)</f>
        <v>0</v>
      </c>
      <c r="M17" s="403">
        <f>SUM(M19:M25)</f>
        <v>0</v>
      </c>
      <c r="N17" s="403">
        <f>SUM(N19:N25)</f>
        <v>0</v>
      </c>
      <c r="O17" s="404">
        <f>SUM(H17:N17)</f>
        <v>275691144</v>
      </c>
      <c r="P17" s="405">
        <f>SUM(P19:P25)</f>
        <v>39900000</v>
      </c>
      <c r="Q17" s="406">
        <f>SUM(Q19:Q25)</f>
        <v>71271252</v>
      </c>
      <c r="R17" s="406">
        <f>SUM(R19:R25)</f>
        <v>23148448</v>
      </c>
      <c r="S17" s="406">
        <f>SUM(S19:S25)</f>
        <v>1730000</v>
      </c>
      <c r="T17" s="406">
        <f>SUM(T19:T28)</f>
        <v>21291144</v>
      </c>
      <c r="U17" s="406">
        <f>SUM(U18:U26)</f>
        <v>20118351</v>
      </c>
      <c r="V17" s="406">
        <f>SUM(V18:V26)</f>
        <v>86499196.8190503</v>
      </c>
      <c r="W17" s="406">
        <f>SUM(W18:W26)</f>
        <v>11732752.180949705</v>
      </c>
      <c r="X17" s="407">
        <f>SUM(X18:X26)</f>
        <v>273114694</v>
      </c>
      <c r="Y17" s="414"/>
      <c r="Z17" s="453"/>
      <c r="AA17" s="76"/>
      <c r="AB17" s="76"/>
      <c r="AC17" s="76"/>
    </row>
    <row r="18" spans="1:29" ht="15.75">
      <c r="A18" s="408"/>
      <c r="B18" s="141"/>
      <c r="C18" s="141"/>
      <c r="D18" s="141"/>
      <c r="E18" s="141"/>
      <c r="F18" s="141"/>
      <c r="G18" s="141"/>
      <c r="H18" s="409"/>
      <c r="I18" s="409"/>
      <c r="J18" s="409"/>
      <c r="K18" s="409"/>
      <c r="L18" s="409"/>
      <c r="M18" s="409"/>
      <c r="N18" s="409"/>
      <c r="O18" s="410"/>
      <c r="P18" s="411"/>
      <c r="Q18" s="412"/>
      <c r="R18" s="140"/>
      <c r="S18" s="409"/>
      <c r="T18" s="409"/>
      <c r="U18" s="409"/>
      <c r="V18" s="140"/>
      <c r="W18" s="140"/>
      <c r="X18" s="413"/>
      <c r="Y18" s="414"/>
      <c r="Z18" s="79"/>
      <c r="AA18" s="77"/>
      <c r="AB18" s="77"/>
      <c r="AC18" s="77"/>
    </row>
    <row r="19" spans="1:29" ht="15.75">
      <c r="A19" s="408"/>
      <c r="B19" s="141"/>
      <c r="C19" s="141"/>
      <c r="D19" s="141"/>
      <c r="E19" s="141" t="s">
        <v>22</v>
      </c>
      <c r="F19" s="141"/>
      <c r="G19" s="141"/>
      <c r="H19" s="409">
        <v>44230000</v>
      </c>
      <c r="I19" s="409">
        <v>10424000</v>
      </c>
      <c r="J19" s="409">
        <v>7057000</v>
      </c>
      <c r="K19" s="409"/>
      <c r="L19" s="409"/>
      <c r="M19" s="409"/>
      <c r="N19" s="409"/>
      <c r="O19" s="410">
        <f>SUM(H19:N19)</f>
        <v>61711000</v>
      </c>
      <c r="P19" s="411">
        <v>1020000</v>
      </c>
      <c r="Q19" s="412">
        <f>8680000+9640000</f>
        <v>18320000</v>
      </c>
      <c r="R19" s="140"/>
      <c r="S19" s="409"/>
      <c r="T19" s="409">
        <f>21291144-21027336</f>
        <v>263808</v>
      </c>
      <c r="U19" s="409">
        <v>17541901</v>
      </c>
      <c r="V19" s="140">
        <f>42107192-U19</f>
        <v>24565291</v>
      </c>
      <c r="W19" s="140"/>
      <c r="X19" s="413">
        <f>SUM(P19:W19)</f>
        <v>61711000</v>
      </c>
      <c r="Y19" s="414"/>
      <c r="Z19" s="79"/>
      <c r="AA19" s="77"/>
      <c r="AB19" s="77"/>
      <c r="AC19" s="77"/>
    </row>
    <row r="20" spans="1:29" ht="15.75">
      <c r="A20" s="408"/>
      <c r="B20" s="141"/>
      <c r="C20" s="141"/>
      <c r="D20" s="141"/>
      <c r="E20" s="141" t="s">
        <v>23</v>
      </c>
      <c r="F20" s="141"/>
      <c r="G20" s="141"/>
      <c r="H20" s="409">
        <v>7947000</v>
      </c>
      <c r="I20" s="409">
        <v>1270000</v>
      </c>
      <c r="J20" s="409">
        <v>54378000</v>
      </c>
      <c r="K20" s="409"/>
      <c r="L20" s="409"/>
      <c r="M20" s="409"/>
      <c r="N20" s="409"/>
      <c r="O20" s="410">
        <f aca="true" t="shared" si="0" ref="O20:O26">SUM(H20:N20)</f>
        <v>63595000</v>
      </c>
      <c r="P20" s="411">
        <v>29400000</v>
      </c>
      <c r="Q20" s="412">
        <f>11281200+1320000</f>
        <v>12601200</v>
      </c>
      <c r="R20" s="140"/>
      <c r="S20" s="409"/>
      <c r="T20" s="409"/>
      <c r="U20" s="409"/>
      <c r="V20" s="140">
        <f>O20-P20-Q20</f>
        <v>21593800</v>
      </c>
      <c r="W20" s="140"/>
      <c r="X20" s="413">
        <f aca="true" t="shared" si="1" ref="X20:X26">SUM(P20:W20)</f>
        <v>63595000</v>
      </c>
      <c r="Y20" s="414"/>
      <c r="Z20" s="77"/>
      <c r="AA20" s="77"/>
      <c r="AB20" s="77"/>
      <c r="AC20" s="77"/>
    </row>
    <row r="21" spans="1:29" ht="15.75">
      <c r="A21" s="408"/>
      <c r="B21" s="141"/>
      <c r="C21" s="141"/>
      <c r="D21" s="141"/>
      <c r="E21" s="141" t="s">
        <v>30</v>
      </c>
      <c r="F21" s="141"/>
      <c r="G21" s="141"/>
      <c r="H21" s="409">
        <v>42250000</v>
      </c>
      <c r="I21" s="409">
        <v>6759000</v>
      </c>
      <c r="J21" s="409">
        <v>1571000</v>
      </c>
      <c r="K21" s="409">
        <v>3422013</v>
      </c>
      <c r="L21" s="409"/>
      <c r="M21" s="409"/>
      <c r="N21" s="409"/>
      <c r="O21" s="410">
        <f t="shared" si="0"/>
        <v>54002013</v>
      </c>
      <c r="P21" s="411">
        <v>2760000</v>
      </c>
      <c r="Q21" s="412">
        <f>16147295+6500000</f>
        <v>22647295</v>
      </c>
      <c r="R21" s="140"/>
      <c r="S21" s="409"/>
      <c r="T21" s="409"/>
      <c r="U21" s="409"/>
      <c r="V21" s="140">
        <f>Település!N23</f>
        <v>28594718</v>
      </c>
      <c r="W21" s="140"/>
      <c r="X21" s="413">
        <f t="shared" si="1"/>
        <v>54002013</v>
      </c>
      <c r="Y21" s="414"/>
      <c r="Z21" s="77"/>
      <c r="AA21" s="77"/>
      <c r="AB21" s="77"/>
      <c r="AC21" s="77"/>
    </row>
    <row r="22" spans="1:29" ht="15.75">
      <c r="A22" s="408"/>
      <c r="B22" s="141"/>
      <c r="C22" s="141"/>
      <c r="D22" s="141"/>
      <c r="E22" s="141" t="s">
        <v>35</v>
      </c>
      <c r="F22" s="141"/>
      <c r="G22" s="141"/>
      <c r="H22" s="409">
        <v>14256000</v>
      </c>
      <c r="I22" s="409">
        <v>2280000</v>
      </c>
      <c r="J22" s="409">
        <v>2215000</v>
      </c>
      <c r="K22" s="409">
        <v>2088987</v>
      </c>
      <c r="L22" s="409"/>
      <c r="M22" s="409"/>
      <c r="N22" s="409"/>
      <c r="O22" s="410">
        <f t="shared" si="0"/>
        <v>20839987</v>
      </c>
      <c r="P22" s="411">
        <v>2760000</v>
      </c>
      <c r="Q22" s="412"/>
      <c r="R22" s="140">
        <f>1900000+26004500-16147295</f>
        <v>11757205</v>
      </c>
      <c r="S22" s="409"/>
      <c r="T22" s="409"/>
      <c r="U22" s="409">
        <f>521174+1662379</f>
        <v>2183553</v>
      </c>
      <c r="V22" s="140"/>
      <c r="W22" s="140">
        <f>Település!N22-U22</f>
        <v>4139229</v>
      </c>
      <c r="X22" s="413">
        <f>SUM(P22:W22)-U22</f>
        <v>18656434</v>
      </c>
      <c r="Y22" s="414"/>
      <c r="Z22" s="77"/>
      <c r="AA22" s="77"/>
      <c r="AB22" s="77"/>
      <c r="AC22" s="77"/>
    </row>
    <row r="23" spans="1:29" ht="15.75">
      <c r="A23" s="408"/>
      <c r="B23" s="141"/>
      <c r="C23" s="141"/>
      <c r="D23" s="141"/>
      <c r="E23" s="141" t="s">
        <v>34</v>
      </c>
      <c r="F23" s="141"/>
      <c r="G23" s="141"/>
      <c r="H23" s="409">
        <v>9639000</v>
      </c>
      <c r="I23" s="409">
        <v>1540000</v>
      </c>
      <c r="J23" s="409">
        <v>456000</v>
      </c>
      <c r="K23" s="409"/>
      <c r="L23" s="409"/>
      <c r="M23" s="409"/>
      <c r="N23" s="409"/>
      <c r="O23" s="410">
        <f t="shared" si="0"/>
        <v>11635000</v>
      </c>
      <c r="P23" s="411">
        <v>1440000</v>
      </c>
      <c r="Q23" s="412">
        <v>950000</v>
      </c>
      <c r="R23" s="140"/>
      <c r="S23" s="409">
        <v>1730000</v>
      </c>
      <c r="T23" s="409"/>
      <c r="U23" s="409"/>
      <c r="V23" s="140">
        <f>'[1]Település'!O23</f>
        <v>4473314.835627985</v>
      </c>
      <c r="W23" s="140">
        <f>'[1]Település'!O22</f>
        <v>3041685.1643720143</v>
      </c>
      <c r="X23" s="413">
        <f t="shared" si="1"/>
        <v>11634999.999999998</v>
      </c>
      <c r="Y23" s="414"/>
      <c r="Z23" s="77"/>
      <c r="AA23" s="77"/>
      <c r="AB23" s="77"/>
      <c r="AC23" s="77"/>
    </row>
    <row r="24" spans="1:29" ht="15.75">
      <c r="A24" s="408"/>
      <c r="B24" s="141"/>
      <c r="C24" s="141"/>
      <c r="D24" s="141"/>
      <c r="E24" s="141" t="s">
        <v>28</v>
      </c>
      <c r="F24" s="141"/>
      <c r="G24" s="141"/>
      <c r="H24" s="409">
        <v>20132000</v>
      </c>
      <c r="I24" s="409">
        <v>3220000</v>
      </c>
      <c r="J24" s="409">
        <v>3206808</v>
      </c>
      <c r="K24" s="409"/>
      <c r="L24" s="409"/>
      <c r="M24" s="409"/>
      <c r="N24" s="409"/>
      <c r="O24" s="410">
        <f t="shared" si="0"/>
        <v>26558808</v>
      </c>
      <c r="P24" s="411">
        <v>2520000</v>
      </c>
      <c r="Q24" s="412">
        <v>9275208</v>
      </c>
      <c r="R24" s="140">
        <v>6306792</v>
      </c>
      <c r="S24" s="409"/>
      <c r="T24" s="409"/>
      <c r="U24" s="409">
        <v>392897</v>
      </c>
      <c r="V24" s="140">
        <f>'[1]Település'!Q23</f>
        <v>5033927.436920484</v>
      </c>
      <c r="W24" s="140">
        <f>Település!Q22-U24</f>
        <v>3029983.563079517</v>
      </c>
      <c r="X24" s="413">
        <f>SUM(P24:W24)-U24</f>
        <v>26165911</v>
      </c>
      <c r="Y24" s="414"/>
      <c r="Z24" s="77"/>
      <c r="AA24" s="77"/>
      <c r="AB24" s="77"/>
      <c r="AC24" s="77"/>
    </row>
    <row r="25" spans="1:29" ht="15.75">
      <c r="A25" s="408"/>
      <c r="B25" s="141"/>
      <c r="C25" s="141"/>
      <c r="D25" s="141"/>
      <c r="E25" s="141" t="s">
        <v>32</v>
      </c>
      <c r="F25" s="141"/>
      <c r="G25" s="141"/>
      <c r="H25" s="409">
        <v>9779000</v>
      </c>
      <c r="I25" s="409">
        <v>1534000</v>
      </c>
      <c r="J25" s="409">
        <v>2009000</v>
      </c>
      <c r="K25" s="409"/>
      <c r="L25" s="409"/>
      <c r="M25" s="409"/>
      <c r="N25" s="409"/>
      <c r="O25" s="410">
        <f t="shared" si="0"/>
        <v>13322000</v>
      </c>
      <c r="P25" s="411"/>
      <c r="Q25" s="412">
        <v>7477549</v>
      </c>
      <c r="R25" s="140">
        <v>5084451</v>
      </c>
      <c r="S25" s="409"/>
      <c r="T25" s="409"/>
      <c r="U25" s="409"/>
      <c r="V25" s="140">
        <f>'[1]Település elszámolás alp.'!R23</f>
        <v>452391.12110143295</v>
      </c>
      <c r="W25" s="140">
        <f>'[1]Település elszámolás alp.'!R22</f>
        <v>307608.87889856705</v>
      </c>
      <c r="X25" s="413">
        <f t="shared" si="1"/>
        <v>13322000</v>
      </c>
      <c r="Y25" s="414"/>
      <c r="Z25" s="77"/>
      <c r="AA25" s="77"/>
      <c r="AB25" s="77"/>
      <c r="AC25" s="77"/>
    </row>
    <row r="26" spans="1:29" ht="15.75">
      <c r="A26" s="408"/>
      <c r="B26" s="141"/>
      <c r="C26" s="141"/>
      <c r="D26" s="141"/>
      <c r="E26" s="141" t="s">
        <v>305</v>
      </c>
      <c r="F26" s="141"/>
      <c r="G26" s="141"/>
      <c r="H26" s="409">
        <v>3541000</v>
      </c>
      <c r="I26" s="409">
        <v>547880</v>
      </c>
      <c r="J26" s="409">
        <v>7038456</v>
      </c>
      <c r="K26" s="409">
        <v>12900000</v>
      </c>
      <c r="L26" s="409"/>
      <c r="M26" s="409"/>
      <c r="N26" s="409"/>
      <c r="O26" s="410">
        <f t="shared" si="0"/>
        <v>24027336</v>
      </c>
      <c r="P26" s="411"/>
      <c r="Q26" s="412"/>
      <c r="R26" s="140"/>
      <c r="S26" s="409"/>
      <c r="T26" s="409">
        <v>21027336</v>
      </c>
      <c r="U26" s="409"/>
      <c r="V26" s="140">
        <f>'[1]Település'!P23</f>
        <v>1785754.4254003935</v>
      </c>
      <c r="W26" s="140">
        <f>'[1]Település'!P22</f>
        <v>1214245.5745996067</v>
      </c>
      <c r="X26" s="413">
        <f t="shared" si="1"/>
        <v>24027336</v>
      </c>
      <c r="Y26" s="414"/>
      <c r="Z26" s="77"/>
      <c r="AA26" s="77"/>
      <c r="AB26" s="77"/>
      <c r="AC26" s="77"/>
    </row>
    <row r="27" spans="1:29" ht="15.75">
      <c r="A27" s="408"/>
      <c r="B27" s="141"/>
      <c r="C27" s="141"/>
      <c r="D27" s="141"/>
      <c r="E27" s="141"/>
      <c r="F27" s="141"/>
      <c r="G27" s="141"/>
      <c r="H27" s="409"/>
      <c r="I27" s="409"/>
      <c r="J27" s="409"/>
      <c r="K27" s="409"/>
      <c r="L27" s="409"/>
      <c r="M27" s="409"/>
      <c r="N27" s="409"/>
      <c r="O27" s="410"/>
      <c r="P27" s="411"/>
      <c r="Q27" s="412"/>
      <c r="R27" s="140"/>
      <c r="S27" s="409"/>
      <c r="T27" s="409"/>
      <c r="U27" s="409"/>
      <c r="V27" s="140"/>
      <c r="W27" s="140"/>
      <c r="X27" s="413"/>
      <c r="Y27" s="415"/>
      <c r="Z27" s="77"/>
      <c r="AA27" s="77"/>
      <c r="AB27" s="77"/>
      <c r="AC27" s="77"/>
    </row>
    <row r="28" spans="1:29" ht="15.75">
      <c r="A28" s="408"/>
      <c r="B28" s="141"/>
      <c r="C28" s="141"/>
      <c r="D28" s="141"/>
      <c r="E28" s="141"/>
      <c r="F28" s="141"/>
      <c r="G28" s="141"/>
      <c r="H28" s="409"/>
      <c r="I28" s="409"/>
      <c r="J28" s="409"/>
      <c r="K28" s="409"/>
      <c r="L28" s="409"/>
      <c r="M28" s="409"/>
      <c r="N28" s="409"/>
      <c r="O28" s="410"/>
      <c r="P28" s="411"/>
      <c r="Q28" s="412"/>
      <c r="R28" s="140"/>
      <c r="S28" s="409"/>
      <c r="T28" s="409"/>
      <c r="U28" s="409"/>
      <c r="V28" s="140"/>
      <c r="W28" s="140"/>
      <c r="X28" s="413"/>
      <c r="Y28" s="415"/>
      <c r="Z28" s="77"/>
      <c r="AA28" s="77"/>
      <c r="AB28" s="77"/>
      <c r="AC28" s="77"/>
    </row>
    <row r="29" spans="1:29" s="27" customFormat="1" ht="15.75">
      <c r="A29" s="402"/>
      <c r="B29" s="135"/>
      <c r="C29" s="135" t="s">
        <v>4</v>
      </c>
      <c r="D29" s="135" t="s">
        <v>0</v>
      </c>
      <c r="E29" s="135"/>
      <c r="F29" s="135"/>
      <c r="G29" s="135"/>
      <c r="H29" s="403">
        <v>0</v>
      </c>
      <c r="I29" s="403">
        <v>0</v>
      </c>
      <c r="J29" s="403">
        <f aca="true" t="shared" si="2" ref="J29:O29">SUM(J30,J31,J32)</f>
        <v>4870767</v>
      </c>
      <c r="K29" s="403">
        <f t="shared" si="2"/>
        <v>0</v>
      </c>
      <c r="L29" s="403">
        <f t="shared" si="2"/>
        <v>0</v>
      </c>
      <c r="M29" s="403">
        <f t="shared" si="2"/>
        <v>0</v>
      </c>
      <c r="N29" s="403">
        <f t="shared" si="2"/>
        <v>2789000</v>
      </c>
      <c r="O29" s="404">
        <f t="shared" si="2"/>
        <v>7659767</v>
      </c>
      <c r="P29" s="405">
        <v>0</v>
      </c>
      <c r="Q29" s="416">
        <f aca="true" t="shared" si="3" ref="Q29:X29">SUM(Q30,Q31,Q32)</f>
        <v>0</v>
      </c>
      <c r="R29" s="416">
        <f t="shared" si="3"/>
        <v>0</v>
      </c>
      <c r="S29" s="416">
        <f t="shared" si="3"/>
        <v>0</v>
      </c>
      <c r="T29" s="416"/>
      <c r="U29" s="416">
        <v>0</v>
      </c>
      <c r="V29" s="416">
        <f t="shared" si="3"/>
        <v>3006517</v>
      </c>
      <c r="W29" s="416">
        <f t="shared" si="3"/>
        <v>4653250</v>
      </c>
      <c r="X29" s="407">
        <f t="shared" si="3"/>
        <v>7659767</v>
      </c>
      <c r="Y29" s="414"/>
      <c r="Z29" s="76"/>
      <c r="AA29" s="76"/>
      <c r="AB29" s="76"/>
      <c r="AC29" s="76"/>
    </row>
    <row r="30" spans="1:29" ht="15.75">
      <c r="A30" s="408"/>
      <c r="B30" s="141"/>
      <c r="C30" s="141"/>
      <c r="D30" s="141"/>
      <c r="E30" s="141"/>
      <c r="F30" s="141" t="s">
        <v>36</v>
      </c>
      <c r="G30" s="141" t="s">
        <v>63</v>
      </c>
      <c r="H30" s="409"/>
      <c r="I30" s="409"/>
      <c r="J30" s="409">
        <f>'[1]Település'!D24</f>
        <v>3685750</v>
      </c>
      <c r="K30" s="409"/>
      <c r="L30" s="409"/>
      <c r="M30" s="409"/>
      <c r="N30" s="409"/>
      <c r="O30" s="410">
        <f>SUM(H30,I30,J30,K30,L30,M30,N30)</f>
        <v>3685750</v>
      </c>
      <c r="P30" s="411"/>
      <c r="Q30" s="412"/>
      <c r="R30" s="140"/>
      <c r="S30" s="409"/>
      <c r="T30" s="409"/>
      <c r="U30" s="409"/>
      <c r="V30" s="140">
        <f>'[1]Település'!D23</f>
        <v>2118500</v>
      </c>
      <c r="W30" s="140">
        <f>'[1]Település'!D22</f>
        <v>1567250</v>
      </c>
      <c r="X30" s="413">
        <f>SUM(P30,Q30,R30,S30,V30,W30)</f>
        <v>3685750</v>
      </c>
      <c r="Y30" s="415"/>
      <c r="Z30" s="77"/>
      <c r="AA30" s="77"/>
      <c r="AB30" s="77"/>
      <c r="AC30" s="77"/>
    </row>
    <row r="31" spans="1:29" ht="15.75">
      <c r="A31" s="408"/>
      <c r="B31" s="141"/>
      <c r="C31" s="141"/>
      <c r="D31" s="141"/>
      <c r="E31" s="141"/>
      <c r="F31" s="141" t="s">
        <v>62</v>
      </c>
      <c r="G31" s="141"/>
      <c r="H31" s="409"/>
      <c r="I31" s="409"/>
      <c r="J31" s="409">
        <f>1185000+17</f>
        <v>1185017</v>
      </c>
      <c r="K31" s="409"/>
      <c r="L31" s="409"/>
      <c r="M31" s="409"/>
      <c r="N31" s="409"/>
      <c r="O31" s="410">
        <f>SUM(H31,I31,J31,K31,L31,M31,N31)</f>
        <v>1185017</v>
      </c>
      <c r="P31" s="411"/>
      <c r="Q31" s="412"/>
      <c r="R31" s="140"/>
      <c r="S31" s="409"/>
      <c r="T31" s="409"/>
      <c r="U31" s="409"/>
      <c r="V31" s="140">
        <f>Település!E23</f>
        <v>888017</v>
      </c>
      <c r="W31" s="140">
        <f>'[1]Település'!E22</f>
        <v>297000</v>
      </c>
      <c r="X31" s="413">
        <f>SUM(P31,Q31,R31,S31,V31,W31)</f>
        <v>1185017</v>
      </c>
      <c r="Y31" s="415"/>
      <c r="Z31" s="77"/>
      <c r="AA31" s="77"/>
      <c r="AB31" s="77"/>
      <c r="AC31" s="77"/>
    </row>
    <row r="32" spans="1:29" ht="16.5" thickBot="1">
      <c r="A32" s="417"/>
      <c r="B32" s="418"/>
      <c r="C32" s="418"/>
      <c r="D32" s="418"/>
      <c r="E32" s="418"/>
      <c r="F32" s="418" t="s">
        <v>64</v>
      </c>
      <c r="G32" s="418"/>
      <c r="H32" s="419"/>
      <c r="I32" s="419"/>
      <c r="J32" s="419"/>
      <c r="K32" s="419"/>
      <c r="L32" s="419"/>
      <c r="M32" s="419"/>
      <c r="N32" s="419">
        <v>2789000</v>
      </c>
      <c r="O32" s="410">
        <f>SUM(H32,I32,J32,K32,L32,M32,N32)</f>
        <v>2789000</v>
      </c>
      <c r="P32" s="420"/>
      <c r="Q32" s="421"/>
      <c r="R32" s="422"/>
      <c r="S32" s="419"/>
      <c r="T32" s="419"/>
      <c r="U32" s="419"/>
      <c r="V32" s="419"/>
      <c r="W32" s="422">
        <f>'[1]Település'!F22</f>
        <v>2789000.0000000005</v>
      </c>
      <c r="X32" s="413">
        <f>SUM(P32,Q32,R32,S32,V32,W32)</f>
        <v>2789000.0000000005</v>
      </c>
      <c r="Y32" s="415"/>
      <c r="Z32" s="77"/>
      <c r="AA32" s="77"/>
      <c r="AB32" s="77"/>
      <c r="AC32" s="77"/>
    </row>
    <row r="33" spans="1:29" s="27" customFormat="1" ht="17.25" thickBot="1" thickTop="1">
      <c r="A33" s="379" t="s">
        <v>24</v>
      </c>
      <c r="B33" s="380"/>
      <c r="C33" s="380"/>
      <c r="D33" s="380"/>
      <c r="E33" s="380"/>
      <c r="F33" s="380"/>
      <c r="G33" s="380"/>
      <c r="H33" s="381">
        <f>SUM(H29,H17,H14,H8)</f>
        <v>475852461</v>
      </c>
      <c r="I33" s="381">
        <f aca="true" t="shared" si="4" ref="I33:N33">SUM(I29,I17,I14,I8)</f>
        <v>84100658</v>
      </c>
      <c r="J33" s="381">
        <f t="shared" si="4"/>
        <v>121357881</v>
      </c>
      <c r="K33" s="381">
        <f t="shared" si="4"/>
        <v>20086000</v>
      </c>
      <c r="L33" s="381">
        <f t="shared" si="4"/>
        <v>0</v>
      </c>
      <c r="M33" s="381">
        <f t="shared" si="4"/>
        <v>0</v>
      </c>
      <c r="N33" s="381">
        <f t="shared" si="4"/>
        <v>2789000</v>
      </c>
      <c r="O33" s="382">
        <f>SUM(H33,I33,J33,K33,L33,M33,N33)</f>
        <v>704186000</v>
      </c>
      <c r="P33" s="383">
        <f aca="true" t="shared" si="5" ref="P33:V33">SUM(P29,P17,P14,P8)</f>
        <v>44200000</v>
      </c>
      <c r="Q33" s="384">
        <f t="shared" si="5"/>
        <v>331809254</v>
      </c>
      <c r="R33" s="384">
        <f t="shared" si="5"/>
        <v>77230254</v>
      </c>
      <c r="S33" s="384">
        <f t="shared" si="5"/>
        <v>1730000</v>
      </c>
      <c r="T33" s="384">
        <f>T17+T8+T29</f>
        <v>22863863</v>
      </c>
      <c r="U33" s="384">
        <f>U17+U14+U8+U29</f>
        <v>28616033</v>
      </c>
      <c r="V33" s="384">
        <f t="shared" si="5"/>
        <v>174354413.1259756</v>
      </c>
      <c r="W33" s="384">
        <f>W29+W17+W14+W8</f>
        <v>23382182.874024384</v>
      </c>
      <c r="X33" s="423">
        <f>SUM(P33:W33)</f>
        <v>704186000</v>
      </c>
      <c r="Y33" s="414"/>
      <c r="Z33" s="76"/>
      <c r="AA33" s="76"/>
      <c r="AB33" s="76"/>
      <c r="AC33" s="76"/>
    </row>
    <row r="34" spans="1:29" ht="16.5" thickTop="1">
      <c r="A34" s="396">
        <v>1</v>
      </c>
      <c r="B34" s="397"/>
      <c r="C34" s="397"/>
      <c r="D34" s="397" t="s">
        <v>1</v>
      </c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8"/>
      <c r="P34" s="396"/>
      <c r="Q34" s="399"/>
      <c r="R34" s="400"/>
      <c r="S34" s="424"/>
      <c r="T34" s="424"/>
      <c r="U34" s="424"/>
      <c r="V34" s="400"/>
      <c r="W34" s="400"/>
      <c r="X34" s="401"/>
      <c r="Z34" s="77"/>
      <c r="AA34" s="77"/>
      <c r="AB34" s="77"/>
      <c r="AC34" s="77"/>
    </row>
    <row r="35" spans="1:29" ht="15.75">
      <c r="A35" s="408"/>
      <c r="B35" s="141"/>
      <c r="C35" s="141"/>
      <c r="D35" s="141"/>
      <c r="E35" s="141" t="s">
        <v>29</v>
      </c>
      <c r="F35" s="141"/>
      <c r="G35" s="141"/>
      <c r="H35" s="141"/>
      <c r="I35" s="141"/>
      <c r="J35" s="140"/>
      <c r="K35" s="141"/>
      <c r="L35" s="141"/>
      <c r="M35" s="141"/>
      <c r="N35" s="141"/>
      <c r="O35" s="425"/>
      <c r="P35" s="426"/>
      <c r="Q35" s="412"/>
      <c r="R35" s="140"/>
      <c r="S35" s="140"/>
      <c r="T35" s="140"/>
      <c r="U35" s="140"/>
      <c r="V35" s="140"/>
      <c r="W35" s="140"/>
      <c r="X35" s="413"/>
      <c r="Z35" s="77"/>
      <c r="AA35" s="77"/>
      <c r="AB35" s="77"/>
      <c r="AC35" s="77"/>
    </row>
    <row r="36" spans="1:29" ht="15.75">
      <c r="A36" s="408"/>
      <c r="B36" s="141">
        <v>2</v>
      </c>
      <c r="C36" s="141"/>
      <c r="D36" s="141"/>
      <c r="E36" s="141"/>
      <c r="F36" s="141" t="s">
        <v>333</v>
      </c>
      <c r="G36" s="141"/>
      <c r="H36" s="140"/>
      <c r="I36" s="141"/>
      <c r="J36" s="140"/>
      <c r="K36" s="140">
        <v>2384000</v>
      </c>
      <c r="L36" s="141"/>
      <c r="M36" s="141"/>
      <c r="N36" s="141"/>
      <c r="O36" s="425"/>
      <c r="P36" s="426"/>
      <c r="Q36" s="412"/>
      <c r="R36" s="140"/>
      <c r="S36" s="140"/>
      <c r="T36" s="140"/>
      <c r="U36" s="140"/>
      <c r="V36" s="140">
        <f>Település!R23</f>
        <v>1419079.5167181792</v>
      </c>
      <c r="W36" s="140">
        <f>Település!R22</f>
        <v>964920.4832818208</v>
      </c>
      <c r="X36" s="413"/>
      <c r="Z36" s="77"/>
      <c r="AA36" s="77"/>
      <c r="AB36" s="77"/>
      <c r="AC36" s="77"/>
    </row>
    <row r="37" spans="1:29" ht="16.5" thickBot="1">
      <c r="A37" s="417"/>
      <c r="B37" s="418"/>
      <c r="C37" s="418" t="s">
        <v>25</v>
      </c>
      <c r="D37" s="418"/>
      <c r="E37" s="418"/>
      <c r="F37" s="418"/>
      <c r="G37" s="418"/>
      <c r="H37" s="422"/>
      <c r="I37" s="422"/>
      <c r="J37" s="422"/>
      <c r="K37" s="422"/>
      <c r="L37" s="422"/>
      <c r="M37" s="422"/>
      <c r="N37" s="422"/>
      <c r="O37" s="427"/>
      <c r="P37" s="428"/>
      <c r="Q37" s="421"/>
      <c r="R37" s="422"/>
      <c r="S37" s="422"/>
      <c r="T37" s="422"/>
      <c r="U37" s="422"/>
      <c r="V37" s="429"/>
      <c r="W37" s="422"/>
      <c r="X37" s="430"/>
      <c r="Z37" s="77"/>
      <c r="AA37" s="77"/>
      <c r="AB37" s="77"/>
      <c r="AC37" s="77"/>
    </row>
    <row r="38" spans="1:29" s="27" customFormat="1" ht="17.25" thickBot="1" thickTop="1">
      <c r="A38" s="379"/>
      <c r="B38" s="380"/>
      <c r="C38" s="380"/>
      <c r="D38" s="380"/>
      <c r="E38" s="380" t="s">
        <v>26</v>
      </c>
      <c r="F38" s="380"/>
      <c r="G38" s="380"/>
      <c r="H38" s="381">
        <f>SUM(H37,H33)</f>
        <v>475852461</v>
      </c>
      <c r="I38" s="381">
        <f>SUM(I37,I33)</f>
        <v>84100658</v>
      </c>
      <c r="J38" s="381">
        <f>SUM(J37,J33)</f>
        <v>121357881</v>
      </c>
      <c r="K38" s="381">
        <f>SUM(K33:K37)</f>
        <v>22470000</v>
      </c>
      <c r="L38" s="381">
        <f>SUM(L37,L33)</f>
        <v>0</v>
      </c>
      <c r="M38" s="381">
        <f>SUM(M37,M33)</f>
        <v>0</v>
      </c>
      <c r="N38" s="381">
        <f>SUM(N37,N33)</f>
        <v>2789000</v>
      </c>
      <c r="O38" s="382">
        <f>SUM(H38,I38,J38,K38,L38,M38,N38)</f>
        <v>706570000</v>
      </c>
      <c r="P38" s="383">
        <f>SUM(P37,P33)</f>
        <v>44200000</v>
      </c>
      <c r="Q38" s="384">
        <f>SUM(Q33,Q37)</f>
        <v>331809254</v>
      </c>
      <c r="R38" s="384">
        <f>SUM(R33,R37)</f>
        <v>77230254</v>
      </c>
      <c r="S38" s="384">
        <f>SUM(S33,S37)</f>
        <v>1730000</v>
      </c>
      <c r="T38" s="384">
        <f>T33</f>
        <v>22863863</v>
      </c>
      <c r="U38" s="384">
        <f>U33</f>
        <v>28616033</v>
      </c>
      <c r="V38" s="384">
        <f>SUM(V33:V37)</f>
        <v>175773492.6426938</v>
      </c>
      <c r="W38" s="384">
        <f>SUM(W33:W37)</f>
        <v>24347103.357306205</v>
      </c>
      <c r="X38" s="455">
        <f>SUM(P38:W38)</f>
        <v>706570000</v>
      </c>
      <c r="Y38" s="385"/>
      <c r="Z38" s="76"/>
      <c r="AA38" s="76"/>
      <c r="AB38" s="76"/>
      <c r="AC38" s="76"/>
    </row>
    <row r="39" spans="1:29" ht="16.5" thickTop="1">
      <c r="A39" s="58"/>
      <c r="B39" s="58"/>
      <c r="C39" s="58"/>
      <c r="D39" s="58"/>
      <c r="E39" s="58"/>
      <c r="F39" s="58"/>
      <c r="G39" s="58"/>
      <c r="H39" s="79"/>
      <c r="I39" s="58"/>
      <c r="J39" s="79"/>
      <c r="K39" s="58"/>
      <c r="L39" s="58"/>
      <c r="M39" s="58"/>
      <c r="N39" s="58"/>
      <c r="O39" s="79"/>
      <c r="P39" s="79"/>
      <c r="Q39" s="79"/>
      <c r="R39" s="79"/>
      <c r="S39" s="79"/>
      <c r="T39" s="79"/>
      <c r="U39" s="79"/>
      <c r="V39" s="79"/>
      <c r="W39" s="79"/>
      <c r="X39" s="431"/>
      <c r="Z39" s="77"/>
      <c r="AA39" s="77"/>
      <c r="AB39" s="77"/>
      <c r="AC39" s="77"/>
    </row>
    <row r="40" spans="1:29" ht="15.75">
      <c r="A40" s="58"/>
      <c r="B40" s="58"/>
      <c r="C40" s="58"/>
      <c r="D40" s="58"/>
      <c r="E40" s="58"/>
      <c r="F40" s="58"/>
      <c r="G40" s="58"/>
      <c r="H40" s="79"/>
      <c r="I40" s="58"/>
      <c r="J40" s="79"/>
      <c r="K40" s="58"/>
      <c r="L40" s="58"/>
      <c r="M40" s="58"/>
      <c r="N40" s="58"/>
      <c r="O40" s="79"/>
      <c r="P40" s="79"/>
      <c r="Q40" s="79"/>
      <c r="R40" s="79"/>
      <c r="S40" s="79"/>
      <c r="T40" s="79"/>
      <c r="U40" s="79"/>
      <c r="V40" s="79"/>
      <c r="W40" s="79"/>
      <c r="X40" s="431"/>
      <c r="Z40" s="77"/>
      <c r="AA40" s="77"/>
      <c r="AB40" s="77"/>
      <c r="AC40" s="77"/>
    </row>
    <row r="41" spans="8:29" s="58" customFormat="1" ht="15.75">
      <c r="H41" s="79"/>
      <c r="J41" s="79"/>
      <c r="O41" s="79"/>
      <c r="P41" s="79"/>
      <c r="Q41" s="79"/>
      <c r="R41" s="79"/>
      <c r="S41" s="79"/>
      <c r="T41" s="79"/>
      <c r="U41" s="79"/>
      <c r="V41" s="79"/>
      <c r="W41" s="79"/>
      <c r="X41" s="431"/>
      <c r="Y41" s="79"/>
      <c r="Z41" s="79"/>
      <c r="AA41" s="79"/>
      <c r="AB41" s="79"/>
      <c r="AC41" s="79"/>
    </row>
    <row r="42" spans="8:29" s="58" customFormat="1" ht="15.75">
      <c r="H42" s="79"/>
      <c r="J42" s="79"/>
      <c r="O42" s="79"/>
      <c r="P42" s="79"/>
      <c r="Q42" s="79"/>
      <c r="R42" s="79"/>
      <c r="S42" s="79"/>
      <c r="T42" s="79"/>
      <c r="U42" s="79"/>
      <c r="V42" s="79"/>
      <c r="W42" s="79"/>
      <c r="X42" s="431"/>
      <c r="Z42" s="79"/>
      <c r="AA42" s="79"/>
      <c r="AB42" s="79"/>
      <c r="AC42" s="79"/>
    </row>
    <row r="43" spans="1:29" ht="15.75">
      <c r="A43" s="58"/>
      <c r="B43" s="58"/>
      <c r="C43" s="58"/>
      <c r="D43" s="58"/>
      <c r="E43" s="58"/>
      <c r="F43" s="58"/>
      <c r="G43" s="58"/>
      <c r="H43" s="79"/>
      <c r="I43" s="79"/>
      <c r="K43" s="79"/>
      <c r="L43" s="58"/>
      <c r="M43" s="58"/>
      <c r="N43" s="58"/>
      <c r="O43" s="79"/>
      <c r="P43" s="385" t="s">
        <v>69</v>
      </c>
      <c r="Q43" s="385"/>
      <c r="R43" s="385">
        <f>Q38+R38+S38</f>
        <v>410769508</v>
      </c>
      <c r="S43" s="79"/>
      <c r="T43" s="79"/>
      <c r="U43" s="79"/>
      <c r="V43" s="79"/>
      <c r="W43" s="79"/>
      <c r="X43" s="431"/>
      <c r="Z43" s="77"/>
      <c r="AA43" s="77"/>
      <c r="AB43" s="77"/>
      <c r="AC43" s="77"/>
    </row>
    <row r="44" spans="1:29" ht="15.75">
      <c r="A44" s="58"/>
      <c r="B44" s="58"/>
      <c r="C44" s="58"/>
      <c r="D44" s="58"/>
      <c r="E44" s="58"/>
      <c r="F44" s="58"/>
      <c r="G44" s="58"/>
      <c r="H44" s="79"/>
      <c r="I44" s="79"/>
      <c r="K44" s="79"/>
      <c r="L44" s="58"/>
      <c r="M44" s="58"/>
      <c r="N44" s="58"/>
      <c r="O44" s="79"/>
      <c r="P44" s="432" t="s">
        <v>29</v>
      </c>
      <c r="Q44" s="432"/>
      <c r="R44" s="432">
        <f>T26</f>
        <v>21027336</v>
      </c>
      <c r="S44" s="79"/>
      <c r="T44" s="79"/>
      <c r="U44" s="79"/>
      <c r="V44" s="79"/>
      <c r="W44" s="79"/>
      <c r="X44" s="431"/>
      <c r="Z44" s="77"/>
      <c r="AA44" s="77"/>
      <c r="AB44" s="77"/>
      <c r="AC44" s="77"/>
    </row>
    <row r="45" spans="1:29" ht="15.75">
      <c r="A45" s="58"/>
      <c r="B45" s="58"/>
      <c r="C45" s="58"/>
      <c r="D45" s="58"/>
      <c r="E45" s="58"/>
      <c r="F45" s="58"/>
      <c r="G45" s="58"/>
      <c r="H45" s="79"/>
      <c r="I45" s="79"/>
      <c r="K45" s="79"/>
      <c r="L45" s="58"/>
      <c r="M45" s="58"/>
      <c r="N45" s="58"/>
      <c r="O45" s="79"/>
      <c r="P45" s="79"/>
      <c r="Q45" s="385"/>
      <c r="R45" s="385">
        <f>SUM(R43:R44)</f>
        <v>431796844</v>
      </c>
      <c r="S45" s="79"/>
      <c r="T45" s="79"/>
      <c r="U45" s="79"/>
      <c r="V45" s="79"/>
      <c r="W45" s="79"/>
      <c r="X45" s="431"/>
      <c r="Z45" s="77"/>
      <c r="AA45" s="77"/>
      <c r="AB45" s="77"/>
      <c r="AC45" s="77"/>
    </row>
    <row r="46" spans="8:29" ht="15.75">
      <c r="H46" s="77"/>
      <c r="J46" s="77"/>
      <c r="K46" s="77"/>
      <c r="O46" s="79"/>
      <c r="P46" s="79"/>
      <c r="Q46" s="385" t="s">
        <v>306</v>
      </c>
      <c r="R46" s="433">
        <f>R45/X38</f>
        <v>0.6111168659863849</v>
      </c>
      <c r="S46" s="79"/>
      <c r="T46" s="79"/>
      <c r="U46" s="77"/>
      <c r="V46" s="76"/>
      <c r="W46" s="77"/>
      <c r="Z46" s="77"/>
      <c r="AA46" s="77"/>
      <c r="AB46" s="77"/>
      <c r="AC46" s="77"/>
    </row>
    <row r="47" spans="8:29" ht="15.75">
      <c r="H47" s="77"/>
      <c r="I47" s="435"/>
      <c r="J47" s="77"/>
      <c r="K47" s="77"/>
      <c r="L47" s="77"/>
      <c r="M47" s="77"/>
      <c r="N47" s="77"/>
      <c r="O47" s="79"/>
      <c r="P47" s="79"/>
      <c r="Q47" s="79"/>
      <c r="R47" s="79"/>
      <c r="S47" s="79"/>
      <c r="T47" s="79"/>
      <c r="U47" s="77"/>
      <c r="V47" s="77"/>
      <c r="W47" s="77"/>
      <c r="Z47" s="77"/>
      <c r="AA47" s="77"/>
      <c r="AB47" s="77"/>
      <c r="AC47" s="77"/>
    </row>
    <row r="48" spans="8:29" ht="15.75">
      <c r="H48" s="95"/>
      <c r="I48" s="95"/>
      <c r="J48" s="95"/>
      <c r="K48" s="95"/>
      <c r="L48" s="95"/>
      <c r="M48" s="95"/>
      <c r="N48" s="95"/>
      <c r="O48" s="415"/>
      <c r="P48" s="415"/>
      <c r="Q48" s="79"/>
      <c r="R48" s="79"/>
      <c r="S48" s="415"/>
      <c r="T48" s="415"/>
      <c r="U48" s="95"/>
      <c r="V48" s="77"/>
      <c r="W48" s="77"/>
      <c r="Z48" s="77"/>
      <c r="AA48" s="77"/>
      <c r="AB48" s="77"/>
      <c r="AC48" s="77"/>
    </row>
    <row r="49" spans="15:29" ht="15.75">
      <c r="O49" s="58"/>
      <c r="P49" s="58"/>
      <c r="Q49" s="79"/>
      <c r="R49" s="79"/>
      <c r="S49" s="58"/>
      <c r="T49" s="58"/>
      <c r="V49" s="77"/>
      <c r="W49" s="77"/>
      <c r="Z49" s="77"/>
      <c r="AA49" s="77"/>
      <c r="AB49" s="77"/>
      <c r="AC49" s="77"/>
    </row>
    <row r="50" spans="10:29" ht="15.75">
      <c r="J50" s="95"/>
      <c r="K50" s="95"/>
      <c r="N50" s="95"/>
      <c r="O50" s="415"/>
      <c r="P50" s="58"/>
      <c r="Q50" s="79"/>
      <c r="R50" s="79"/>
      <c r="S50" s="79"/>
      <c r="T50" s="79"/>
      <c r="U50" s="77"/>
      <c r="V50" s="77"/>
      <c r="W50" s="77"/>
      <c r="Z50" s="77"/>
      <c r="AA50" s="77"/>
      <c r="AB50" s="77"/>
      <c r="AC50" s="77"/>
    </row>
    <row r="51" spans="10:29" ht="15.75">
      <c r="J51" s="95"/>
      <c r="K51" s="77"/>
      <c r="N51" s="95"/>
      <c r="Q51" s="77"/>
      <c r="R51" s="77"/>
      <c r="S51" s="95"/>
      <c r="T51" s="95"/>
      <c r="U51" s="95"/>
      <c r="V51" s="77"/>
      <c r="W51" s="77"/>
      <c r="Z51" s="77"/>
      <c r="AA51" s="77"/>
      <c r="AB51" s="77"/>
      <c r="AC51" s="77"/>
    </row>
    <row r="52" spans="10:29" ht="15.75">
      <c r="J52" s="95"/>
      <c r="K52" s="77"/>
      <c r="L52" s="95"/>
      <c r="Q52" s="77"/>
      <c r="R52" s="77"/>
      <c r="S52" s="77"/>
      <c r="T52" s="77"/>
      <c r="U52" s="77"/>
      <c r="V52" s="77"/>
      <c r="W52" s="77"/>
      <c r="Z52" s="77"/>
      <c r="AA52" s="77"/>
      <c r="AB52" s="77"/>
      <c r="AC52" s="77"/>
    </row>
    <row r="53" spans="10:29" ht="15.75">
      <c r="J53" s="95"/>
      <c r="K53" s="95"/>
      <c r="L53" s="95"/>
      <c r="O53" s="95"/>
      <c r="Q53" s="77"/>
      <c r="R53" s="77"/>
      <c r="V53" s="77"/>
      <c r="W53" s="77"/>
      <c r="Z53" s="77"/>
      <c r="AA53" s="77"/>
      <c r="AB53" s="77"/>
      <c r="AC53" s="77"/>
    </row>
    <row r="54" spans="17:29" ht="15.75">
      <c r="Q54" s="77"/>
      <c r="R54" s="77"/>
      <c r="V54" s="77"/>
      <c r="W54" s="77"/>
      <c r="Z54" s="77"/>
      <c r="AA54" s="77"/>
      <c r="AB54" s="77"/>
      <c r="AC54" s="77"/>
    </row>
    <row r="55" spans="17:29" ht="15.75">
      <c r="Q55" s="77"/>
      <c r="R55" s="77"/>
      <c r="V55" s="77"/>
      <c r="W55" s="77"/>
      <c r="Z55" s="77"/>
      <c r="AA55" s="77"/>
      <c r="AB55" s="77"/>
      <c r="AC55" s="77"/>
    </row>
    <row r="56" spans="17:29" ht="15.75">
      <c r="Q56" s="77"/>
      <c r="R56" s="77"/>
      <c r="V56" s="77"/>
      <c r="W56" s="77"/>
      <c r="Z56" s="77"/>
      <c r="AA56" s="77"/>
      <c r="AB56" s="77"/>
      <c r="AC56" s="77"/>
    </row>
    <row r="57" spans="17:29" ht="15.75">
      <c r="Q57" s="77"/>
      <c r="R57" s="77"/>
      <c r="V57" s="77"/>
      <c r="W57" s="77"/>
      <c r="Z57" s="77"/>
      <c r="AA57" s="77"/>
      <c r="AB57" s="77"/>
      <c r="AC57" s="77"/>
    </row>
    <row r="58" spans="17:29" ht="15.75">
      <c r="Q58" s="77"/>
      <c r="R58" s="77"/>
      <c r="V58" s="77"/>
      <c r="W58" s="77"/>
      <c r="Z58" s="77"/>
      <c r="AA58" s="77"/>
      <c r="AB58" s="77"/>
      <c r="AC58" s="77"/>
    </row>
    <row r="59" spans="17:29" ht="15.75">
      <c r="Q59" s="77"/>
      <c r="R59" s="77"/>
      <c r="V59" s="77"/>
      <c r="W59" s="77"/>
      <c r="Z59" s="77"/>
      <c r="AA59" s="77"/>
      <c r="AB59" s="77"/>
      <c r="AC59" s="77"/>
    </row>
    <row r="60" spans="17:29" ht="15.75">
      <c r="Q60" s="77"/>
      <c r="R60" s="77"/>
      <c r="V60" s="77"/>
      <c r="W60" s="77"/>
      <c r="Z60" s="77"/>
      <c r="AA60" s="77"/>
      <c r="AB60" s="77"/>
      <c r="AC60" s="77"/>
    </row>
  </sheetData>
  <sheetProtection/>
  <mergeCells count="4">
    <mergeCell ref="A1:X1"/>
    <mergeCell ref="A2:X2"/>
    <mergeCell ref="F5:O5"/>
    <mergeCell ref="P5:X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49"/>
  <sheetViews>
    <sheetView zoomScalePageLayoutView="0" workbookViewId="0" topLeftCell="A16">
      <selection activeCell="O43" sqref="O43"/>
    </sheetView>
  </sheetViews>
  <sheetFormatPr defaultColWidth="9.140625" defaultRowHeight="12.75"/>
  <cols>
    <col min="1" max="1" width="3.421875" style="22" customWidth="1"/>
    <col min="2" max="2" width="4.28125" style="22" customWidth="1"/>
    <col min="3" max="3" width="3.57421875" style="22" customWidth="1"/>
    <col min="4" max="4" width="4.57421875" style="22" customWidth="1"/>
    <col min="5" max="5" width="5.57421875" style="22" customWidth="1"/>
    <col min="6" max="6" width="9.140625" style="22" customWidth="1"/>
    <col min="7" max="7" width="19.57421875" style="22" customWidth="1"/>
    <col min="8" max="8" width="8.00390625" style="22" customWidth="1"/>
    <col min="9" max="9" width="12.421875" style="23" customWidth="1"/>
    <col min="10" max="10" width="13.57421875" style="2" customWidth="1"/>
    <col min="11" max="11" width="12.8515625" style="22" customWidth="1"/>
    <col min="12" max="16384" width="9.140625" style="22" customWidth="1"/>
  </cols>
  <sheetData>
    <row r="1" spans="1:11" ht="15.75">
      <c r="A1" s="470" t="s">
        <v>142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15.75">
      <c r="A2" s="470" t="s">
        <v>321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15.75">
      <c r="A3" s="42"/>
      <c r="B3" s="42"/>
      <c r="C3" s="42"/>
      <c r="D3" s="42"/>
      <c r="E3" s="42"/>
      <c r="F3" s="42"/>
      <c r="G3" s="42"/>
      <c r="H3" s="42"/>
      <c r="I3" s="77"/>
      <c r="J3" s="123"/>
      <c r="K3" s="123" t="s">
        <v>276</v>
      </c>
    </row>
    <row r="4" spans="1:11" ht="16.5" thickBot="1">
      <c r="A4" s="90"/>
      <c r="B4" s="90"/>
      <c r="C4" s="90"/>
      <c r="D4" s="90"/>
      <c r="E4" s="90"/>
      <c r="F4" s="90"/>
      <c r="G4" s="90"/>
      <c r="H4" s="90"/>
      <c r="I4" s="120"/>
      <c r="J4" s="124"/>
      <c r="K4" s="210" t="s">
        <v>284</v>
      </c>
    </row>
    <row r="5" spans="1:11" ht="16.5" thickTop="1">
      <c r="A5" s="125" t="s">
        <v>5</v>
      </c>
      <c r="B5" s="126" t="s">
        <v>116</v>
      </c>
      <c r="C5" s="126" t="s">
        <v>7</v>
      </c>
      <c r="D5" s="478" t="s">
        <v>117</v>
      </c>
      <c r="E5" s="479"/>
      <c r="F5" s="479"/>
      <c r="G5" s="480"/>
      <c r="H5" s="472" t="s">
        <v>327</v>
      </c>
      <c r="I5" s="473"/>
      <c r="J5" s="473"/>
      <c r="K5" s="474"/>
    </row>
    <row r="6" spans="1:11" ht="16.5" thickBot="1">
      <c r="A6" s="130" t="s">
        <v>118</v>
      </c>
      <c r="B6" s="131" t="s">
        <v>118</v>
      </c>
      <c r="C6" s="131" t="s">
        <v>119</v>
      </c>
      <c r="D6" s="481"/>
      <c r="E6" s="482"/>
      <c r="F6" s="482"/>
      <c r="G6" s="483"/>
      <c r="H6" s="475"/>
      <c r="I6" s="476"/>
      <c r="J6" s="476"/>
      <c r="K6" s="477"/>
    </row>
    <row r="7" spans="1:11" ht="16.5" thickTop="1">
      <c r="A7" s="133"/>
      <c r="B7" s="150"/>
      <c r="C7" s="150"/>
      <c r="D7" s="126" t="s">
        <v>120</v>
      </c>
      <c r="E7" s="126"/>
      <c r="F7" s="150"/>
      <c r="G7" s="150"/>
      <c r="H7" s="150"/>
      <c r="I7" s="151"/>
      <c r="J7" s="152"/>
      <c r="K7" s="134"/>
    </row>
    <row r="8" spans="1:13" ht="15.75">
      <c r="A8" s="127" t="s">
        <v>82</v>
      </c>
      <c r="B8" s="128"/>
      <c r="C8" s="128"/>
      <c r="D8" s="135" t="s">
        <v>83</v>
      </c>
      <c r="E8" s="136"/>
      <c r="F8" s="136"/>
      <c r="G8" s="136"/>
      <c r="H8" s="136"/>
      <c r="I8" s="137"/>
      <c r="J8" s="129"/>
      <c r="K8" s="114"/>
      <c r="M8" s="22" t="s">
        <v>121</v>
      </c>
    </row>
    <row r="9" spans="1:11" ht="15.75">
      <c r="A9" s="127"/>
      <c r="B9" s="128">
        <v>1</v>
      </c>
      <c r="C9" s="128"/>
      <c r="D9" s="136"/>
      <c r="E9" s="128" t="s">
        <v>122</v>
      </c>
      <c r="F9" s="136"/>
      <c r="G9" s="136"/>
      <c r="H9" s="136"/>
      <c r="I9" s="137"/>
      <c r="J9" s="129"/>
      <c r="K9" s="114">
        <f>J10+J15+J16+J23</f>
        <v>44200000</v>
      </c>
    </row>
    <row r="10" spans="1:11" ht="15.75">
      <c r="A10" s="127"/>
      <c r="B10" s="128"/>
      <c r="C10" s="128"/>
      <c r="D10" s="136"/>
      <c r="E10" s="468" t="s">
        <v>37</v>
      </c>
      <c r="F10" s="469"/>
      <c r="G10" s="469"/>
      <c r="H10" s="469"/>
      <c r="I10" s="129"/>
      <c r="J10" s="129">
        <f>SUM(I11:I14)</f>
        <v>4300000</v>
      </c>
      <c r="K10" s="114"/>
    </row>
    <row r="11" spans="1:11" ht="15.75">
      <c r="A11" s="127"/>
      <c r="B11" s="128"/>
      <c r="C11" s="128"/>
      <c r="D11" s="136"/>
      <c r="E11" s="469" t="s">
        <v>33</v>
      </c>
      <c r="F11" s="469"/>
      <c r="G11" s="469"/>
      <c r="H11" s="136"/>
      <c r="I11" s="137"/>
      <c r="J11" s="137"/>
      <c r="K11" s="114"/>
    </row>
    <row r="12" spans="1:11" ht="15.75">
      <c r="A12" s="127"/>
      <c r="B12" s="128"/>
      <c r="C12" s="128"/>
      <c r="D12" s="136"/>
      <c r="E12" s="153" t="s">
        <v>38</v>
      </c>
      <c r="F12" s="153"/>
      <c r="G12" s="153"/>
      <c r="H12" s="136"/>
      <c r="I12" s="137"/>
      <c r="J12" s="137"/>
      <c r="K12" s="114"/>
    </row>
    <row r="13" spans="1:11" ht="15.75">
      <c r="A13" s="127"/>
      <c r="B13" s="128"/>
      <c r="C13" s="128"/>
      <c r="D13" s="136"/>
      <c r="E13" s="153" t="s">
        <v>39</v>
      </c>
      <c r="F13" s="153"/>
      <c r="G13" s="153"/>
      <c r="H13" s="136"/>
      <c r="I13" s="137"/>
      <c r="J13" s="137"/>
      <c r="K13" s="114"/>
    </row>
    <row r="14" spans="1:11" ht="15.75">
      <c r="A14" s="127"/>
      <c r="B14" s="128"/>
      <c r="C14" s="128"/>
      <c r="D14" s="136"/>
      <c r="E14" s="469" t="s">
        <v>40</v>
      </c>
      <c r="F14" s="469"/>
      <c r="G14" s="469"/>
      <c r="H14" s="136"/>
      <c r="I14" s="137">
        <f>Kiadás!P10</f>
        <v>4300000</v>
      </c>
      <c r="J14" s="137"/>
      <c r="K14" s="114"/>
    </row>
    <row r="15" spans="1:11" ht="15.75">
      <c r="A15" s="127"/>
      <c r="B15" s="128"/>
      <c r="C15" s="128"/>
      <c r="D15" s="136"/>
      <c r="E15" s="128" t="s">
        <v>86</v>
      </c>
      <c r="F15" s="128"/>
      <c r="G15" s="128"/>
      <c r="H15" s="128"/>
      <c r="I15" s="137"/>
      <c r="J15" s="129"/>
      <c r="K15" s="114"/>
    </row>
    <row r="16" spans="1:11" ht="15.75">
      <c r="A16" s="127"/>
      <c r="B16" s="128"/>
      <c r="C16" s="128"/>
      <c r="D16" s="136"/>
      <c r="E16" s="128" t="s">
        <v>21</v>
      </c>
      <c r="F16" s="153"/>
      <c r="G16" s="153"/>
      <c r="H16" s="136"/>
      <c r="I16" s="129"/>
      <c r="J16" s="129">
        <f>SUM(I17:I22)</f>
        <v>39900000</v>
      </c>
      <c r="K16" s="114"/>
    </row>
    <row r="17" spans="1:11" ht="15.75">
      <c r="A17" s="127"/>
      <c r="B17" s="128"/>
      <c r="C17" s="128"/>
      <c r="D17" s="136"/>
      <c r="E17" s="153" t="s">
        <v>22</v>
      </c>
      <c r="F17" s="153"/>
      <c r="G17" s="153"/>
      <c r="H17" s="136"/>
      <c r="I17" s="138">
        <f>Kiadás!P19</f>
        <v>1020000</v>
      </c>
      <c r="J17" s="137"/>
      <c r="K17" s="114"/>
    </row>
    <row r="18" spans="1:11" ht="15.75">
      <c r="A18" s="127"/>
      <c r="B18" s="128"/>
      <c r="C18" s="128"/>
      <c r="D18" s="136"/>
      <c r="E18" s="153" t="s">
        <v>23</v>
      </c>
      <c r="F18" s="153"/>
      <c r="G18" s="153"/>
      <c r="H18" s="136"/>
      <c r="I18" s="138">
        <f>Kiadás!P20</f>
        <v>29400000</v>
      </c>
      <c r="J18" s="137"/>
      <c r="K18" s="114"/>
    </row>
    <row r="19" spans="1:11" ht="15.75">
      <c r="A19" s="127"/>
      <c r="B19" s="128"/>
      <c r="C19" s="128"/>
      <c r="D19" s="136"/>
      <c r="E19" s="154" t="s">
        <v>123</v>
      </c>
      <c r="F19" s="153"/>
      <c r="G19" s="153"/>
      <c r="H19" s="136"/>
      <c r="I19" s="138">
        <f>Kiadás!P21+Kiadás!P22</f>
        <v>5520000</v>
      </c>
      <c r="J19" s="137"/>
      <c r="K19" s="114"/>
    </row>
    <row r="20" spans="1:11" ht="15.75">
      <c r="A20" s="127"/>
      <c r="B20" s="128"/>
      <c r="C20" s="128"/>
      <c r="D20" s="136"/>
      <c r="E20" s="154" t="s">
        <v>124</v>
      </c>
      <c r="F20" s="154"/>
      <c r="G20" s="154"/>
      <c r="H20" s="136"/>
      <c r="I20" s="138">
        <f>Kiadás!P23</f>
        <v>1440000</v>
      </c>
      <c r="J20" s="137"/>
      <c r="K20" s="114"/>
    </row>
    <row r="21" spans="1:11" ht="15.75">
      <c r="A21" s="127"/>
      <c r="B21" s="128"/>
      <c r="C21" s="128"/>
      <c r="D21" s="136"/>
      <c r="E21" s="153" t="s">
        <v>28</v>
      </c>
      <c r="F21" s="153"/>
      <c r="G21" s="153"/>
      <c r="H21" s="136"/>
      <c r="I21" s="138">
        <f>Kiadás!P24</f>
        <v>2520000</v>
      </c>
      <c r="J21" s="137"/>
      <c r="K21" s="114"/>
    </row>
    <row r="22" spans="1:11" ht="15.75">
      <c r="A22" s="127"/>
      <c r="B22" s="128"/>
      <c r="C22" s="128"/>
      <c r="D22" s="136"/>
      <c r="E22" s="153" t="s">
        <v>32</v>
      </c>
      <c r="F22" s="153"/>
      <c r="G22" s="153"/>
      <c r="H22" s="136"/>
      <c r="I22" s="137"/>
      <c r="J22" s="137"/>
      <c r="K22" s="114"/>
    </row>
    <row r="23" spans="1:11" ht="15.75">
      <c r="A23" s="147"/>
      <c r="B23" s="136"/>
      <c r="C23" s="128"/>
      <c r="D23" s="128"/>
      <c r="E23" s="155" t="s">
        <v>0</v>
      </c>
      <c r="F23" s="155"/>
      <c r="G23" s="156"/>
      <c r="H23" s="128"/>
      <c r="I23" s="129"/>
      <c r="J23" s="137"/>
      <c r="K23" s="148"/>
    </row>
    <row r="24" spans="1:11" ht="15.75">
      <c r="A24" s="127"/>
      <c r="B24" s="128"/>
      <c r="C24" s="128"/>
      <c r="D24" s="136"/>
      <c r="E24" s="153"/>
      <c r="F24" s="153"/>
      <c r="G24" s="156"/>
      <c r="H24" s="136"/>
      <c r="I24" s="137"/>
      <c r="J24" s="137"/>
      <c r="K24" s="114"/>
    </row>
    <row r="25" spans="1:11" ht="15.75">
      <c r="A25" s="127"/>
      <c r="B25" s="128"/>
      <c r="C25" s="139"/>
      <c r="D25" s="136"/>
      <c r="E25" s="136"/>
      <c r="F25" s="136"/>
      <c r="G25" s="136"/>
      <c r="H25" s="136"/>
      <c r="I25" s="137"/>
      <c r="J25" s="129"/>
      <c r="K25" s="114"/>
    </row>
    <row r="26" spans="1:11" ht="15.75">
      <c r="A26" s="127"/>
      <c r="B26" s="128">
        <v>2</v>
      </c>
      <c r="C26" s="128"/>
      <c r="D26" s="3" t="s">
        <v>249</v>
      </c>
      <c r="E26" s="136"/>
      <c r="F26" s="136"/>
      <c r="G26" s="136"/>
      <c r="H26" s="136"/>
      <c r="I26" s="140"/>
      <c r="J26" s="129"/>
      <c r="K26" s="114">
        <f>J27</f>
        <v>590804104</v>
      </c>
    </row>
    <row r="27" spans="1:11" ht="15.75">
      <c r="A27" s="127"/>
      <c r="B27" s="128"/>
      <c r="C27" s="128"/>
      <c r="D27" s="136"/>
      <c r="E27" s="128" t="s">
        <v>107</v>
      </c>
      <c r="F27" s="136"/>
      <c r="G27" s="136"/>
      <c r="H27" s="136"/>
      <c r="I27" s="140"/>
      <c r="J27" s="129">
        <f>SUM(I28:I31)</f>
        <v>590804104</v>
      </c>
      <c r="K27" s="114"/>
    </row>
    <row r="28" spans="1:11" ht="15.75">
      <c r="A28" s="127"/>
      <c r="B28" s="128"/>
      <c r="C28" s="128"/>
      <c r="D28" s="136"/>
      <c r="E28" s="141" t="s">
        <v>278</v>
      </c>
      <c r="F28" s="136"/>
      <c r="G28" s="136"/>
      <c r="H28" s="136"/>
      <c r="I28" s="140">
        <f>Kiadás!Q38+Kiadás!R38</f>
        <v>409039508</v>
      </c>
      <c r="J28" s="129"/>
      <c r="K28" s="114"/>
    </row>
    <row r="29" spans="1:11" ht="15.75">
      <c r="A29" s="127"/>
      <c r="B29" s="128"/>
      <c r="C29" s="128"/>
      <c r="D29" s="136"/>
      <c r="E29" s="141" t="s">
        <v>125</v>
      </c>
      <c r="F29" s="136"/>
      <c r="G29" s="136"/>
      <c r="H29" s="136"/>
      <c r="I29" s="140">
        <f>Kiadás!V38-I36</f>
        <v>155687492.6426938</v>
      </c>
      <c r="J29" s="129"/>
      <c r="K29" s="114"/>
    </row>
    <row r="30" spans="1:11" ht="15.75">
      <c r="A30" s="127"/>
      <c r="B30" s="128"/>
      <c r="C30" s="128"/>
      <c r="D30" s="136"/>
      <c r="E30" s="141" t="s">
        <v>277</v>
      </c>
      <c r="F30" s="136"/>
      <c r="G30" s="136"/>
      <c r="H30" s="136"/>
      <c r="I30" s="140">
        <f>Kiadás!W38</f>
        <v>24347103.357306205</v>
      </c>
      <c r="J30" s="129"/>
      <c r="K30" s="114"/>
    </row>
    <row r="31" spans="1:11" ht="15.75">
      <c r="A31" s="127"/>
      <c r="B31" s="128"/>
      <c r="C31" s="128"/>
      <c r="D31" s="136"/>
      <c r="E31" s="141" t="s">
        <v>279</v>
      </c>
      <c r="F31" s="136"/>
      <c r="G31" s="136"/>
      <c r="H31" s="136"/>
      <c r="I31" s="137">
        <f>Kiadás!S38</f>
        <v>1730000</v>
      </c>
      <c r="J31" s="129"/>
      <c r="K31" s="114"/>
    </row>
    <row r="32" spans="1:11" ht="15.75">
      <c r="A32" s="127"/>
      <c r="B32" s="128"/>
      <c r="C32" s="128"/>
      <c r="D32" s="136"/>
      <c r="E32" s="141"/>
      <c r="F32" s="136"/>
      <c r="G32" s="136"/>
      <c r="H32" s="136"/>
      <c r="I32" s="140"/>
      <c r="J32" s="129"/>
      <c r="K32" s="114"/>
    </row>
    <row r="33" spans="1:11" ht="15.75">
      <c r="A33" s="127"/>
      <c r="B33" s="128"/>
      <c r="C33" s="128"/>
      <c r="D33" s="136"/>
      <c r="E33" s="141"/>
      <c r="F33" s="136"/>
      <c r="G33" s="136"/>
      <c r="H33" s="136"/>
      <c r="I33" s="140"/>
      <c r="J33" s="129"/>
      <c r="K33" s="114"/>
    </row>
    <row r="34" spans="1:11" ht="15.75">
      <c r="A34" s="127" t="s">
        <v>20</v>
      </c>
      <c r="B34" s="128"/>
      <c r="C34" s="128"/>
      <c r="D34" s="3" t="s">
        <v>271</v>
      </c>
      <c r="E34" s="141"/>
      <c r="F34" s="136"/>
      <c r="G34" s="136"/>
      <c r="H34" s="136"/>
      <c r="I34" s="140"/>
      <c r="J34" s="129"/>
      <c r="K34" s="114">
        <f>J35</f>
        <v>20086000</v>
      </c>
    </row>
    <row r="35" spans="1:15" ht="15.75">
      <c r="A35" s="127"/>
      <c r="B35" s="128">
        <v>1</v>
      </c>
      <c r="C35" s="128"/>
      <c r="D35" s="136"/>
      <c r="E35" s="128" t="s">
        <v>126</v>
      </c>
      <c r="F35" s="136"/>
      <c r="G35" s="136"/>
      <c r="H35" s="136"/>
      <c r="I35" s="137"/>
      <c r="J35" s="129">
        <f>SUM(I36:I38)</f>
        <v>20086000</v>
      </c>
      <c r="K35" s="114"/>
      <c r="O35" s="22" t="s">
        <v>121</v>
      </c>
    </row>
    <row r="36" spans="1:11" ht="15.75">
      <c r="A36" s="127"/>
      <c r="B36" s="128"/>
      <c r="C36" s="128"/>
      <c r="D36" s="136"/>
      <c r="E36" s="136" t="s">
        <v>127</v>
      </c>
      <c r="F36" s="136"/>
      <c r="G36" s="136"/>
      <c r="H36" s="136"/>
      <c r="I36" s="137">
        <v>20086000</v>
      </c>
      <c r="J36" s="129"/>
      <c r="K36" s="114"/>
    </row>
    <row r="37" spans="1:12" ht="15.75">
      <c r="A37" s="127"/>
      <c r="B37" s="128"/>
      <c r="C37" s="128"/>
      <c r="D37" s="136"/>
      <c r="E37" s="141" t="s">
        <v>280</v>
      </c>
      <c r="F37" s="136"/>
      <c r="G37" s="136"/>
      <c r="H37" s="136"/>
      <c r="I37" s="140"/>
      <c r="J37" s="129"/>
      <c r="K37" s="114"/>
      <c r="L37" s="445"/>
    </row>
    <row r="38" spans="1:11" ht="15.75">
      <c r="A38" s="127"/>
      <c r="B38" s="128"/>
      <c r="C38" s="128"/>
      <c r="D38" s="136"/>
      <c r="E38" s="141" t="s">
        <v>281</v>
      </c>
      <c r="F38" s="136"/>
      <c r="G38" s="136"/>
      <c r="H38" s="136"/>
      <c r="I38" s="137"/>
      <c r="J38" s="129"/>
      <c r="K38" s="114"/>
    </row>
    <row r="39" spans="1:11" ht="15.75">
      <c r="A39" s="127"/>
      <c r="B39" s="128"/>
      <c r="C39" s="128"/>
      <c r="D39" s="136"/>
      <c r="E39" s="141"/>
      <c r="F39" s="136"/>
      <c r="G39" s="136"/>
      <c r="H39" s="136"/>
      <c r="I39" s="137"/>
      <c r="J39" s="129"/>
      <c r="K39" s="114"/>
    </row>
    <row r="40" spans="1:11" ht="15.75">
      <c r="A40" s="127"/>
      <c r="B40" s="128"/>
      <c r="C40" s="128"/>
      <c r="D40" s="128"/>
      <c r="E40" s="135"/>
      <c r="F40" s="128"/>
      <c r="G40" s="136"/>
      <c r="H40" s="136"/>
      <c r="I40" s="137"/>
      <c r="J40" s="129"/>
      <c r="K40" s="114"/>
    </row>
    <row r="41" spans="1:11" ht="15.75">
      <c r="A41" s="127" t="s">
        <v>3</v>
      </c>
      <c r="B41" s="128"/>
      <c r="C41" s="128"/>
      <c r="D41" s="128" t="s">
        <v>97</v>
      </c>
      <c r="E41" s="141"/>
      <c r="F41" s="136"/>
      <c r="G41" s="136"/>
      <c r="H41" s="136"/>
      <c r="I41" s="137"/>
      <c r="J41" s="129"/>
      <c r="K41" s="114">
        <f>J42</f>
        <v>51479896</v>
      </c>
    </row>
    <row r="42" spans="1:11" ht="15.75">
      <c r="A42" s="127"/>
      <c r="B42" s="128">
        <v>1</v>
      </c>
      <c r="C42" s="128"/>
      <c r="D42" s="58" t="s">
        <v>100</v>
      </c>
      <c r="E42" s="141"/>
      <c r="F42" s="136"/>
      <c r="G42" s="136"/>
      <c r="H42" s="136"/>
      <c r="I42" s="137"/>
      <c r="J42" s="129">
        <f>SUM(I43:I44)</f>
        <v>51479896</v>
      </c>
      <c r="K42" s="114"/>
    </row>
    <row r="43" spans="1:11" ht="15.75">
      <c r="A43" s="127"/>
      <c r="B43" s="128"/>
      <c r="C43" s="128"/>
      <c r="D43" s="128"/>
      <c r="E43" s="141" t="s">
        <v>328</v>
      </c>
      <c r="F43" s="136"/>
      <c r="G43" s="136"/>
      <c r="H43" s="136"/>
      <c r="I43" s="137">
        <f>51479896-12900000</f>
        <v>38579896</v>
      </c>
      <c r="J43" s="129"/>
      <c r="K43" s="114"/>
    </row>
    <row r="44" spans="1:11" ht="15.75">
      <c r="A44" s="127"/>
      <c r="B44" s="128"/>
      <c r="C44" s="128"/>
      <c r="D44" s="136"/>
      <c r="E44" s="141" t="s">
        <v>329</v>
      </c>
      <c r="F44" s="136"/>
      <c r="G44" s="136"/>
      <c r="H44" s="136"/>
      <c r="I44" s="137">
        <v>12900000</v>
      </c>
      <c r="J44" s="129"/>
      <c r="K44" s="114"/>
    </row>
    <row r="45" spans="1:11" ht="16.5" thickBot="1">
      <c r="A45" s="130"/>
      <c r="B45" s="131"/>
      <c r="C45" s="131"/>
      <c r="D45" s="157"/>
      <c r="E45" s="158"/>
      <c r="F45" s="157"/>
      <c r="G45" s="157"/>
      <c r="H45" s="157"/>
      <c r="I45" s="159"/>
      <c r="J45" s="132"/>
      <c r="K45" s="93"/>
    </row>
    <row r="46" spans="1:11" ht="17.25" thickBot="1" thickTop="1">
      <c r="A46" s="456" t="s">
        <v>104</v>
      </c>
      <c r="B46" s="457"/>
      <c r="C46" s="457"/>
      <c r="D46" s="457"/>
      <c r="E46" s="457"/>
      <c r="F46" s="457"/>
      <c r="G46" s="461"/>
      <c r="H46" s="142"/>
      <c r="I46" s="67"/>
      <c r="J46" s="143"/>
      <c r="K46" s="111">
        <f>SUM(K7:K45)</f>
        <v>706570000</v>
      </c>
    </row>
    <row r="47" spans="1:11" ht="16.5" thickTop="1">
      <c r="A47" s="86"/>
      <c r="B47" s="86"/>
      <c r="C47" s="86"/>
      <c r="D47" s="88"/>
      <c r="E47" s="88"/>
      <c r="F47" s="88"/>
      <c r="G47" s="88"/>
      <c r="H47" s="88"/>
      <c r="I47" s="144"/>
      <c r="J47" s="94"/>
      <c r="K47" s="94"/>
    </row>
    <row r="48" spans="1:11" ht="15.75">
      <c r="A48" s="27"/>
      <c r="B48" s="27"/>
      <c r="C48" s="27"/>
      <c r="D48" s="27"/>
      <c r="E48" s="42"/>
      <c r="F48" s="42"/>
      <c r="G48" s="42"/>
      <c r="H48" s="42"/>
      <c r="I48" s="77"/>
      <c r="J48" s="76"/>
      <c r="K48" s="76"/>
    </row>
    <row r="49" spans="1:11" ht="15.75">
      <c r="A49" s="27"/>
      <c r="B49" s="27"/>
      <c r="C49" s="27"/>
      <c r="D49" s="42"/>
      <c r="E49" s="42"/>
      <c r="F49" s="42"/>
      <c r="G49" s="42"/>
      <c r="H49" s="42"/>
      <c r="I49" s="77"/>
      <c r="J49" s="76"/>
      <c r="K49" s="76"/>
    </row>
  </sheetData>
  <sheetProtection/>
  <mergeCells count="8">
    <mergeCell ref="A46:G46"/>
    <mergeCell ref="E10:H10"/>
    <mergeCell ref="E11:G11"/>
    <mergeCell ref="E14:G14"/>
    <mergeCell ref="A1:K1"/>
    <mergeCell ref="A2:K2"/>
    <mergeCell ref="H5:K6"/>
    <mergeCell ref="D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2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6" width="9.140625" style="22" customWidth="1"/>
    <col min="7" max="7" width="11.28125" style="22" bestFit="1" customWidth="1"/>
    <col min="8" max="8" width="14.57421875" style="22" customWidth="1"/>
    <col min="9" max="12" width="14.7109375" style="22" customWidth="1"/>
    <col min="13" max="16384" width="9.140625" style="22" customWidth="1"/>
  </cols>
  <sheetData>
    <row r="1" spans="7:12" ht="15.75">
      <c r="G1" s="23"/>
      <c r="H1" s="23"/>
      <c r="I1" s="23"/>
      <c r="J1" s="23"/>
      <c r="K1" s="23"/>
      <c r="L1" s="23"/>
    </row>
    <row r="2" spans="9:12" ht="15.75">
      <c r="I2" s="163"/>
      <c r="J2" s="23"/>
      <c r="K2" s="23"/>
      <c r="L2" s="23"/>
    </row>
    <row r="3" spans="2:12" ht="15.75">
      <c r="B3" s="164" t="s">
        <v>332</v>
      </c>
      <c r="C3" s="164"/>
      <c r="D3" s="164"/>
      <c r="E3" s="164"/>
      <c r="F3" s="164"/>
      <c r="G3" s="164"/>
      <c r="H3" s="163"/>
      <c r="I3" s="163"/>
      <c r="J3" s="163"/>
      <c r="K3" s="163"/>
      <c r="L3" s="163"/>
    </row>
    <row r="4" spans="1:12" ht="15.75">
      <c r="A4" s="21"/>
      <c r="B4" s="21"/>
      <c r="C4" s="21"/>
      <c r="D4" s="21"/>
      <c r="E4" s="21"/>
      <c r="F4" s="21"/>
      <c r="G4" s="165"/>
      <c r="H4" s="165"/>
      <c r="I4" s="165"/>
      <c r="J4" s="165"/>
      <c r="K4" s="165"/>
      <c r="L4" s="165"/>
    </row>
    <row r="5" spans="7:13" ht="15.75">
      <c r="G5" s="23"/>
      <c r="H5" s="23"/>
      <c r="I5" s="23"/>
      <c r="K5" s="23"/>
      <c r="L5" s="123" t="s">
        <v>283</v>
      </c>
      <c r="M5" s="145"/>
    </row>
    <row r="6" spans="6:13" ht="16.5" thickBot="1">
      <c r="F6" s="166"/>
      <c r="G6" s="167"/>
      <c r="H6" s="167"/>
      <c r="I6" s="167"/>
      <c r="K6" s="168"/>
      <c r="L6" s="210" t="s">
        <v>284</v>
      </c>
      <c r="M6" s="291"/>
    </row>
    <row r="7" spans="1:13" ht="16.5" thickTop="1">
      <c r="A7" s="169" t="s">
        <v>129</v>
      </c>
      <c r="B7" s="484" t="s">
        <v>130</v>
      </c>
      <c r="C7" s="485"/>
      <c r="D7" s="485"/>
      <c r="E7" s="486"/>
      <c r="F7" s="484" t="s">
        <v>131</v>
      </c>
      <c r="G7" s="485"/>
      <c r="H7" s="486"/>
      <c r="I7" s="487" t="s">
        <v>132</v>
      </c>
      <c r="J7" s="488"/>
      <c r="K7" s="488"/>
      <c r="L7" s="489"/>
      <c r="M7" s="96"/>
    </row>
    <row r="8" spans="1:13" ht="15.75">
      <c r="A8" s="178"/>
      <c r="B8" s="179"/>
      <c r="C8" s="179"/>
      <c r="D8" s="179"/>
      <c r="E8" s="179"/>
      <c r="F8" s="172"/>
      <c r="G8" s="173"/>
      <c r="H8" s="174"/>
      <c r="I8" s="175"/>
      <c r="J8" s="176"/>
      <c r="K8" s="176"/>
      <c r="L8" s="177"/>
      <c r="M8" s="96"/>
    </row>
    <row r="9" spans="1:12" ht="78.75">
      <c r="A9" s="170"/>
      <c r="B9" s="171"/>
      <c r="C9" s="171"/>
      <c r="D9" s="171"/>
      <c r="E9" s="171"/>
      <c r="F9" s="206" t="s">
        <v>133</v>
      </c>
      <c r="G9" s="207" t="s">
        <v>134</v>
      </c>
      <c r="H9" s="207" t="s">
        <v>135</v>
      </c>
      <c r="I9" s="207" t="s">
        <v>136</v>
      </c>
      <c r="J9" s="208" t="s">
        <v>137</v>
      </c>
      <c r="K9" s="207" t="s">
        <v>138</v>
      </c>
      <c r="L9" s="209" t="s">
        <v>139</v>
      </c>
    </row>
    <row r="10" spans="1:12" ht="15.75">
      <c r="A10" s="178"/>
      <c r="B10" s="179"/>
      <c r="C10" s="179"/>
      <c r="D10" s="179"/>
      <c r="E10" s="179"/>
      <c r="F10" s="180"/>
      <c r="G10" s="181"/>
      <c r="H10" s="181"/>
      <c r="I10" s="181"/>
      <c r="J10" s="182"/>
      <c r="K10" s="181"/>
      <c r="L10" s="183"/>
    </row>
    <row r="11" spans="1:12" ht="15.75">
      <c r="A11" s="184" t="s">
        <v>140</v>
      </c>
      <c r="B11" s="185" t="s">
        <v>141</v>
      </c>
      <c r="C11" s="185"/>
      <c r="D11" s="185"/>
      <c r="E11" s="185"/>
      <c r="F11" s="186"/>
      <c r="G11" s="54"/>
      <c r="H11" s="54"/>
      <c r="I11" s="54"/>
      <c r="J11" s="54"/>
      <c r="K11" s="85"/>
      <c r="L11" s="187"/>
    </row>
    <row r="12" spans="1:12" ht="36.75" customHeight="1">
      <c r="A12" s="184"/>
      <c r="B12" s="490" t="s">
        <v>324</v>
      </c>
      <c r="C12" s="491"/>
      <c r="D12" s="491"/>
      <c r="E12" s="492"/>
      <c r="F12" s="189" t="s">
        <v>326</v>
      </c>
      <c r="G12" s="56">
        <v>22226606</v>
      </c>
      <c r="H12" s="56"/>
      <c r="I12" s="54">
        <v>1484619</v>
      </c>
      <c r="J12" s="54">
        <v>21700000</v>
      </c>
      <c r="K12" s="85">
        <v>5700000</v>
      </c>
      <c r="L12" s="190">
        <f>SUM(I12:K12)</f>
        <v>28884619</v>
      </c>
    </row>
    <row r="13" spans="1:12" ht="15.75">
      <c r="A13" s="191"/>
      <c r="B13" s="192"/>
      <c r="C13" s="192"/>
      <c r="D13" s="192"/>
      <c r="E13" s="192"/>
      <c r="F13" s="186"/>
      <c r="G13" s="54"/>
      <c r="H13" s="54"/>
      <c r="I13" s="54"/>
      <c r="J13" s="54"/>
      <c r="K13" s="85"/>
      <c r="L13" s="190"/>
    </row>
    <row r="14" spans="1:12" ht="15.75">
      <c r="A14" s="191"/>
      <c r="B14" s="193"/>
      <c r="C14" s="192"/>
      <c r="D14" s="194"/>
      <c r="E14" s="192"/>
      <c r="F14" s="186"/>
      <c r="G14" s="54"/>
      <c r="H14" s="54"/>
      <c r="I14" s="54"/>
      <c r="J14" s="54"/>
      <c r="K14" s="85"/>
      <c r="L14" s="190"/>
    </row>
    <row r="15" spans="1:12" ht="15.75">
      <c r="A15" s="184"/>
      <c r="B15" s="195"/>
      <c r="C15" s="185"/>
      <c r="D15" s="196"/>
      <c r="E15" s="185"/>
      <c r="F15" s="186"/>
      <c r="G15" s="56"/>
      <c r="H15" s="56"/>
      <c r="I15" s="54"/>
      <c r="J15" s="56"/>
      <c r="K15" s="85"/>
      <c r="L15" s="190"/>
    </row>
    <row r="16" spans="1:12" ht="15.75">
      <c r="A16" s="444"/>
      <c r="B16" s="197"/>
      <c r="C16" s="198"/>
      <c r="D16" s="122"/>
      <c r="E16" s="198"/>
      <c r="F16" s="186"/>
      <c r="G16" s="54"/>
      <c r="H16" s="54"/>
      <c r="I16" s="54"/>
      <c r="J16" s="54"/>
      <c r="K16" s="85"/>
      <c r="L16" s="187"/>
    </row>
    <row r="17" spans="1:12" ht="15.75">
      <c r="A17" s="184"/>
      <c r="B17" s="195"/>
      <c r="C17" s="185"/>
      <c r="D17" s="196"/>
      <c r="E17" s="185"/>
      <c r="F17" s="186"/>
      <c r="G17" s="56"/>
      <c r="H17" s="56"/>
      <c r="I17" s="54"/>
      <c r="J17" s="56"/>
      <c r="K17" s="85"/>
      <c r="L17" s="190"/>
    </row>
    <row r="18" spans="1:12" ht="15.75">
      <c r="A18" s="184"/>
      <c r="B18" s="188"/>
      <c r="C18" s="199"/>
      <c r="D18" s="121"/>
      <c r="E18" s="199"/>
      <c r="F18" s="186"/>
      <c r="G18" s="54"/>
      <c r="H18" s="54"/>
      <c r="I18" s="54"/>
      <c r="J18" s="54"/>
      <c r="K18" s="85"/>
      <c r="L18" s="187"/>
    </row>
    <row r="19" spans="1:12" ht="16.5" thickBot="1">
      <c r="A19" s="200"/>
      <c r="B19" s="201"/>
      <c r="C19" s="201"/>
      <c r="D19" s="201"/>
      <c r="E19" s="201"/>
      <c r="F19" s="202"/>
      <c r="G19" s="203"/>
      <c r="H19" s="203"/>
      <c r="I19" s="203"/>
      <c r="J19" s="203"/>
      <c r="K19" s="204"/>
      <c r="L19" s="205"/>
    </row>
    <row r="20" spans="7:12" ht="16.5" thickTop="1">
      <c r="G20" s="23"/>
      <c r="H20" s="23"/>
      <c r="I20" s="23"/>
      <c r="J20" s="23"/>
      <c r="K20" s="23"/>
      <c r="L20" s="23"/>
    </row>
  </sheetData>
  <sheetProtection/>
  <mergeCells count="4">
    <mergeCell ref="F7:H7"/>
    <mergeCell ref="I7:L7"/>
    <mergeCell ref="B7:E7"/>
    <mergeCell ref="B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3" width="9.140625" style="22" customWidth="1"/>
    <col min="4" max="4" width="11.140625" style="22" customWidth="1"/>
    <col min="5" max="16384" width="9.140625" style="22" customWidth="1"/>
  </cols>
  <sheetData>
    <row r="1" spans="1:11" ht="15.7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.75">
      <c r="A2" s="500" t="s">
        <v>142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2" ht="15.75">
      <c r="A3" s="499" t="s">
        <v>143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292"/>
    </row>
    <row r="4" spans="1:12" ht="15.75">
      <c r="A4" s="499" t="s">
        <v>321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292"/>
    </row>
    <row r="5" spans="1:12" ht="15.7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123" t="s">
        <v>285</v>
      </c>
      <c r="L5" s="292"/>
    </row>
    <row r="6" spans="1:12" ht="15.7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146" t="s">
        <v>284</v>
      </c>
      <c r="L6" s="293"/>
    </row>
    <row r="7" spans="1:12" ht="31.5" customHeight="1">
      <c r="A7" s="501" t="s">
        <v>130</v>
      </c>
      <c r="B7" s="493" t="s">
        <v>286</v>
      </c>
      <c r="C7" s="495"/>
      <c r="D7" s="506" t="s">
        <v>144</v>
      </c>
      <c r="E7" s="493" t="s">
        <v>287</v>
      </c>
      <c r="F7" s="494"/>
      <c r="G7" s="494"/>
      <c r="H7" s="494"/>
      <c r="I7" s="494"/>
      <c r="J7" s="494"/>
      <c r="K7" s="495"/>
      <c r="L7" s="96"/>
    </row>
    <row r="8" spans="1:12" ht="9" customHeight="1">
      <c r="A8" s="502"/>
      <c r="B8" s="504"/>
      <c r="C8" s="505"/>
      <c r="D8" s="507"/>
      <c r="E8" s="496"/>
      <c r="F8" s="497"/>
      <c r="G8" s="497"/>
      <c r="H8" s="497"/>
      <c r="I8" s="497"/>
      <c r="J8" s="497"/>
      <c r="K8" s="498"/>
      <c r="L8" s="96"/>
    </row>
    <row r="9" spans="1:11" ht="15.75">
      <c r="A9" s="503"/>
      <c r="B9" s="215" t="s">
        <v>145</v>
      </c>
      <c r="C9" s="216" t="s">
        <v>146</v>
      </c>
      <c r="D9" s="508"/>
      <c r="E9" s="216">
        <v>2021</v>
      </c>
      <c r="F9" s="216">
        <v>2022</v>
      </c>
      <c r="G9" s="216">
        <v>2023</v>
      </c>
      <c r="H9" s="216">
        <v>2024</v>
      </c>
      <c r="I9" s="216">
        <v>2025</v>
      </c>
      <c r="J9" s="216">
        <v>2026</v>
      </c>
      <c r="K9" s="216" t="s">
        <v>27</v>
      </c>
    </row>
    <row r="10" spans="1:11" ht="15.75">
      <c r="A10" s="217" t="s">
        <v>147</v>
      </c>
      <c r="B10" s="218"/>
      <c r="C10" s="219"/>
      <c r="D10" s="219"/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</row>
    <row r="11" spans="1:11" ht="15.75">
      <c r="A11" s="214"/>
      <c r="B11" s="224"/>
      <c r="C11" s="220"/>
      <c r="D11" s="221"/>
      <c r="E11" s="221"/>
      <c r="F11" s="220"/>
      <c r="G11" s="220"/>
      <c r="H11" s="220"/>
      <c r="I11" s="220"/>
      <c r="J11" s="220"/>
      <c r="K11" s="222"/>
    </row>
    <row r="12" spans="1:11" ht="15.75">
      <c r="A12" s="214"/>
      <c r="B12" s="224"/>
      <c r="C12" s="220"/>
      <c r="D12" s="220"/>
      <c r="E12" s="220"/>
      <c r="F12" s="220"/>
      <c r="G12" s="220"/>
      <c r="H12" s="220"/>
      <c r="I12" s="220"/>
      <c r="J12" s="220"/>
      <c r="K12" s="223"/>
    </row>
    <row r="13" spans="1:11" ht="15.75">
      <c r="A13" s="214"/>
      <c r="B13" s="224"/>
      <c r="C13" s="220"/>
      <c r="D13" s="220"/>
      <c r="E13" s="220"/>
      <c r="F13" s="220"/>
      <c r="G13" s="220"/>
      <c r="H13" s="220"/>
      <c r="I13" s="220"/>
      <c r="J13" s="220"/>
      <c r="K13" s="222"/>
    </row>
    <row r="14" spans="1:11" ht="15.75">
      <c r="A14" s="214"/>
      <c r="B14" s="224"/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11" ht="15.75">
      <c r="A15" s="214"/>
      <c r="B15" s="224"/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1" ht="15.75">
      <c r="A16" s="214"/>
      <c r="B16" s="224"/>
      <c r="C16" s="220"/>
      <c r="D16" s="220"/>
      <c r="E16" s="220"/>
      <c r="F16" s="220"/>
      <c r="G16" s="220"/>
      <c r="H16" s="220"/>
      <c r="I16" s="220"/>
      <c r="J16" s="220"/>
      <c r="K16" s="220"/>
    </row>
    <row r="17" spans="1:11" ht="15.75">
      <c r="A17" s="214"/>
      <c r="B17" s="224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ht="15.75">
      <c r="A18" s="214"/>
      <c r="B18" s="224"/>
      <c r="C18" s="220"/>
      <c r="D18" s="220"/>
      <c r="E18" s="220"/>
      <c r="F18" s="220"/>
      <c r="G18" s="220"/>
      <c r="H18" s="220"/>
      <c r="I18" s="220"/>
      <c r="J18" s="220"/>
      <c r="K18" s="220"/>
    </row>
    <row r="19" spans="1:11" ht="15.75">
      <c r="A19" s="214"/>
      <c r="B19" s="224"/>
      <c r="C19" s="220"/>
      <c r="D19" s="220"/>
      <c r="E19" s="220"/>
      <c r="F19" s="220"/>
      <c r="G19" s="220"/>
      <c r="H19" s="220"/>
      <c r="I19" s="220"/>
      <c r="J19" s="220"/>
      <c r="K19" s="220"/>
    </row>
    <row r="20" spans="1:11" ht="15.75">
      <c r="A20" s="214"/>
      <c r="B20" s="224"/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ht="15.75">
      <c r="A21" s="214"/>
      <c r="B21" s="224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1" ht="15.75">
      <c r="A22" s="214"/>
      <c r="B22" s="224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1:11" ht="15.75">
      <c r="A23" s="214"/>
      <c r="B23" s="224"/>
      <c r="C23" s="220"/>
      <c r="D23" s="220"/>
      <c r="E23" s="220"/>
      <c r="F23" s="225"/>
      <c r="G23" s="225"/>
      <c r="H23" s="225"/>
      <c r="I23" s="225"/>
      <c r="J23" s="225"/>
      <c r="K23" s="220"/>
    </row>
    <row r="24" spans="1:11" ht="15.75">
      <c r="A24" s="226" t="s">
        <v>26</v>
      </c>
      <c r="B24" s="227"/>
      <c r="C24" s="228">
        <f>SUM(C12:C23)</f>
        <v>0</v>
      </c>
      <c r="D24" s="228">
        <f>SUM(D12:D23)</f>
        <v>0</v>
      </c>
      <c r="E24" s="228">
        <f>SUM(E12:E23)</f>
        <v>0</v>
      </c>
      <c r="F24" s="228">
        <f aca="true" t="shared" si="0" ref="F24:K24">SUM(F12:F23)</f>
        <v>0</v>
      </c>
      <c r="G24" s="228">
        <f t="shared" si="0"/>
        <v>0</v>
      </c>
      <c r="H24" s="228">
        <f t="shared" si="0"/>
        <v>0</v>
      </c>
      <c r="I24" s="228">
        <f t="shared" si="0"/>
        <v>0</v>
      </c>
      <c r="J24" s="231">
        <f t="shared" si="0"/>
        <v>0</v>
      </c>
      <c r="K24" s="228">
        <f t="shared" si="0"/>
        <v>0</v>
      </c>
    </row>
    <row r="25" spans="1:11" ht="15.75">
      <c r="A25" s="226" t="s">
        <v>148</v>
      </c>
      <c r="B25" s="227"/>
      <c r="C25" s="229"/>
      <c r="D25" s="228">
        <f>C24-C15-D24</f>
        <v>0</v>
      </c>
      <c r="E25" s="228">
        <f>D25-E24+C15+E18</f>
        <v>0</v>
      </c>
      <c r="F25" s="228">
        <f>E25-F24</f>
        <v>0</v>
      </c>
      <c r="G25" s="228">
        <f>F25-G24</f>
        <v>0</v>
      </c>
      <c r="H25" s="228">
        <f>G25-H24</f>
        <v>0</v>
      </c>
      <c r="I25" s="228">
        <f>H25-I24</f>
        <v>0</v>
      </c>
      <c r="J25" s="230">
        <f>I25-J24</f>
        <v>0</v>
      </c>
      <c r="K25" s="228">
        <v>0</v>
      </c>
    </row>
    <row r="26" spans="1:11" ht="15.75">
      <c r="A26" s="232" t="s">
        <v>149</v>
      </c>
      <c r="B26" s="233"/>
      <c r="C26" s="234"/>
      <c r="D26" s="234"/>
      <c r="E26" s="234"/>
      <c r="F26" s="235"/>
      <c r="G26" s="235"/>
      <c r="H26" s="235"/>
      <c r="I26" s="235"/>
      <c r="J26" s="235"/>
      <c r="K26" s="235"/>
    </row>
  </sheetData>
  <sheetProtection/>
  <mergeCells count="7">
    <mergeCell ref="E7:K8"/>
    <mergeCell ref="A3:K3"/>
    <mergeCell ref="A2:K2"/>
    <mergeCell ref="A4:K4"/>
    <mergeCell ref="A7:A9"/>
    <mergeCell ref="B7:C8"/>
    <mergeCell ref="D7:D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21"/>
  <sheetViews>
    <sheetView tabSelected="1" zoomScalePageLayoutView="0" workbookViewId="0" topLeftCell="C1">
      <selection activeCell="N16" sqref="N16"/>
    </sheetView>
  </sheetViews>
  <sheetFormatPr defaultColWidth="9.140625" defaultRowHeight="12.75"/>
  <cols>
    <col min="1" max="1" width="9.140625" style="22" customWidth="1"/>
    <col min="2" max="2" width="27.421875" style="22" customWidth="1"/>
    <col min="3" max="15" width="12.7109375" style="22" customWidth="1"/>
    <col min="16" max="16384" width="9.140625" style="22" customWidth="1"/>
  </cols>
  <sheetData>
    <row r="1" ht="15.75">
      <c r="K1" s="1"/>
    </row>
    <row r="3" spans="1:15" ht="15.75">
      <c r="A3" s="459" t="s">
        <v>325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5" ht="15.75">
      <c r="O5" s="123" t="s">
        <v>288</v>
      </c>
    </row>
    <row r="6" ht="16.5" thickBot="1">
      <c r="O6" s="146" t="s">
        <v>284</v>
      </c>
    </row>
    <row r="7" spans="1:15" ht="15.75">
      <c r="A7" s="236" t="s">
        <v>129</v>
      </c>
      <c r="B7" s="237" t="s">
        <v>130</v>
      </c>
      <c r="C7" s="247" t="s">
        <v>150</v>
      </c>
      <c r="D7" s="247" t="s">
        <v>151</v>
      </c>
      <c r="E7" s="247" t="s">
        <v>152</v>
      </c>
      <c r="F7" s="247" t="s">
        <v>153</v>
      </c>
      <c r="G7" s="247" t="s">
        <v>154</v>
      </c>
      <c r="H7" s="247" t="s">
        <v>155</v>
      </c>
      <c r="I7" s="247" t="s">
        <v>156</v>
      </c>
      <c r="J7" s="247" t="s">
        <v>157</v>
      </c>
      <c r="K7" s="247" t="s">
        <v>158</v>
      </c>
      <c r="L7" s="247" t="s">
        <v>159</v>
      </c>
      <c r="M7" s="247" t="s">
        <v>160</v>
      </c>
      <c r="N7" s="247" t="s">
        <v>161</v>
      </c>
      <c r="O7" s="248" t="s">
        <v>18</v>
      </c>
    </row>
    <row r="8" spans="1:15" ht="15.75">
      <c r="A8" s="509" t="s">
        <v>120</v>
      </c>
      <c r="B8" s="510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238"/>
    </row>
    <row r="9" spans="1:17" ht="15.75">
      <c r="A9" s="243" t="s">
        <v>162</v>
      </c>
      <c r="B9" s="136" t="s">
        <v>19</v>
      </c>
      <c r="C9" s="137">
        <f>22863863+50000000</f>
        <v>72863863</v>
      </c>
      <c r="D9" s="137">
        <v>55000000</v>
      </c>
      <c r="E9" s="137">
        <f>13000000+50000000</f>
        <v>63000000</v>
      </c>
      <c r="F9" s="137">
        <v>55000000</v>
      </c>
      <c r="G9" s="137">
        <v>55000000</v>
      </c>
      <c r="H9" s="137">
        <v>55000000</v>
      </c>
      <c r="I9" s="137">
        <v>55000000</v>
      </c>
      <c r="J9" s="137">
        <v>55000000</v>
      </c>
      <c r="K9" s="137">
        <f>13000000+50000000</f>
        <v>63000000</v>
      </c>
      <c r="L9" s="137">
        <v>55000000</v>
      </c>
      <c r="M9" s="137">
        <v>55000000</v>
      </c>
      <c r="N9" s="137">
        <f>54000000+17592137-17-5615983</f>
        <v>65976137</v>
      </c>
      <c r="O9" s="239">
        <f>SUM(C9:N9)</f>
        <v>704840000</v>
      </c>
      <c r="P9" s="118"/>
      <c r="Q9" s="79"/>
    </row>
    <row r="10" spans="1:16" ht="15.75">
      <c r="A10" s="243" t="s">
        <v>163</v>
      </c>
      <c r="B10" s="136" t="s">
        <v>128</v>
      </c>
      <c r="C10" s="137"/>
      <c r="D10" s="137"/>
      <c r="E10" s="137"/>
      <c r="F10" s="137"/>
      <c r="G10" s="137"/>
      <c r="H10" s="137">
        <v>1730000</v>
      </c>
      <c r="I10" s="137"/>
      <c r="J10" s="137"/>
      <c r="K10" s="137"/>
      <c r="L10" s="137"/>
      <c r="M10" s="137"/>
      <c r="N10" s="137"/>
      <c r="O10" s="239">
        <f>SUM(C10:N10)</f>
        <v>1730000</v>
      </c>
      <c r="P10" s="118"/>
    </row>
    <row r="11" spans="1:15" ht="15.75">
      <c r="A11" s="243" t="s">
        <v>164</v>
      </c>
      <c r="B11" s="136" t="s">
        <v>165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238">
        <v>0</v>
      </c>
    </row>
    <row r="12" spans="1:15" ht="15.75">
      <c r="A12" s="243">
        <v>4</v>
      </c>
      <c r="B12" s="136" t="s">
        <v>166</v>
      </c>
      <c r="C12" s="137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39">
        <f>SUM(C12:N12)</f>
        <v>0</v>
      </c>
    </row>
    <row r="13" spans="1:17" s="3" customFormat="1" ht="15.75">
      <c r="A13" s="245">
        <v>5</v>
      </c>
      <c r="B13" s="128" t="s">
        <v>167</v>
      </c>
      <c r="C13" s="129">
        <f>SUM(C9:C12)</f>
        <v>72863863</v>
      </c>
      <c r="D13" s="129">
        <f aca="true" t="shared" si="0" ref="D13:N13">SUM(D9:D12)</f>
        <v>55000000</v>
      </c>
      <c r="E13" s="129">
        <f t="shared" si="0"/>
        <v>63000000</v>
      </c>
      <c r="F13" s="129">
        <f t="shared" si="0"/>
        <v>55000000</v>
      </c>
      <c r="G13" s="129">
        <f t="shared" si="0"/>
        <v>55000000</v>
      </c>
      <c r="H13" s="129">
        <f t="shared" si="0"/>
        <v>56730000</v>
      </c>
      <c r="I13" s="129">
        <f t="shared" si="0"/>
        <v>55000000</v>
      </c>
      <c r="J13" s="129">
        <f t="shared" si="0"/>
        <v>55000000</v>
      </c>
      <c r="K13" s="129">
        <f t="shared" si="0"/>
        <v>63000000</v>
      </c>
      <c r="L13" s="129">
        <f t="shared" si="0"/>
        <v>55000000</v>
      </c>
      <c r="M13" s="129">
        <f t="shared" si="0"/>
        <v>55000000</v>
      </c>
      <c r="N13" s="129">
        <f t="shared" si="0"/>
        <v>65976137</v>
      </c>
      <c r="O13" s="246">
        <f>SUM(C13:N13)</f>
        <v>706570000</v>
      </c>
      <c r="P13" s="115"/>
      <c r="Q13" s="2">
        <f>SUM(Q9,Q10)</f>
        <v>0</v>
      </c>
    </row>
    <row r="14" spans="1:15" ht="15.75">
      <c r="A14" s="509" t="s">
        <v>168</v>
      </c>
      <c r="B14" s="511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239">
        <f aca="true" t="shared" si="1" ref="O14:O20">SUM(C14:N14)</f>
        <v>0</v>
      </c>
    </row>
    <row r="15" spans="1:16" ht="15.75">
      <c r="A15" s="243">
        <v>6</v>
      </c>
      <c r="B15" s="136" t="s">
        <v>84</v>
      </c>
      <c r="C15" s="137">
        <v>57000000</v>
      </c>
      <c r="D15" s="137">
        <v>57000000</v>
      </c>
      <c r="E15" s="137">
        <v>57000000</v>
      </c>
      <c r="F15" s="137">
        <v>57000000</v>
      </c>
      <c r="G15" s="137">
        <v>57000000</v>
      </c>
      <c r="H15" s="137">
        <v>57000000</v>
      </c>
      <c r="I15" s="137">
        <v>57000000</v>
      </c>
      <c r="J15" s="137">
        <v>57000000</v>
      </c>
      <c r="K15" s="137">
        <v>57000000</v>
      </c>
      <c r="L15" s="137">
        <v>57000000</v>
      </c>
      <c r="M15" s="137">
        <v>57000000</v>
      </c>
      <c r="N15" s="137">
        <f>57000000+875000-17+2384017</f>
        <v>60259000</v>
      </c>
      <c r="O15" s="239">
        <f t="shared" si="1"/>
        <v>687259000</v>
      </c>
      <c r="P15" s="118"/>
    </row>
    <row r="16" spans="1:15" ht="15.75">
      <c r="A16" s="243">
        <v>7</v>
      </c>
      <c r="B16" s="136" t="s">
        <v>169</v>
      </c>
      <c r="C16" s="137"/>
      <c r="D16" s="137"/>
      <c r="E16" s="137"/>
      <c r="F16" s="137"/>
      <c r="G16" s="137">
        <v>5511000</v>
      </c>
      <c r="H16" s="137"/>
      <c r="I16" s="137">
        <v>12900000</v>
      </c>
      <c r="J16" s="137"/>
      <c r="K16" s="137"/>
      <c r="L16" s="137"/>
      <c r="M16" s="137"/>
      <c r="N16" s="137">
        <v>900000</v>
      </c>
      <c r="O16" s="239">
        <f t="shared" si="1"/>
        <v>19311000</v>
      </c>
    </row>
    <row r="17" spans="1:15" ht="15.75">
      <c r="A17" s="243">
        <v>8</v>
      </c>
      <c r="B17" s="136" t="s">
        <v>170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239">
        <f t="shared" si="1"/>
        <v>0</v>
      </c>
    </row>
    <row r="18" spans="1:15" ht="15.75">
      <c r="A18" s="243">
        <v>9</v>
      </c>
      <c r="B18" s="136" t="s">
        <v>171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239">
        <f t="shared" si="1"/>
        <v>0</v>
      </c>
    </row>
    <row r="19" spans="1:15" ht="15.75">
      <c r="A19" s="243">
        <v>10</v>
      </c>
      <c r="B19" s="136" t="s">
        <v>172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239">
        <f t="shared" si="1"/>
        <v>0</v>
      </c>
    </row>
    <row r="20" spans="1:15" s="3" customFormat="1" ht="15.75">
      <c r="A20" s="245">
        <v>11</v>
      </c>
      <c r="B20" s="128" t="s">
        <v>173</v>
      </c>
      <c r="C20" s="129">
        <f>SUM(C15:C19)</f>
        <v>57000000</v>
      </c>
      <c r="D20" s="129">
        <f aca="true" t="shared" si="2" ref="D20:N20">SUM(D15:D19)</f>
        <v>57000000</v>
      </c>
      <c r="E20" s="129">
        <f t="shared" si="2"/>
        <v>57000000</v>
      </c>
      <c r="F20" s="129">
        <f t="shared" si="2"/>
        <v>57000000</v>
      </c>
      <c r="G20" s="129">
        <f t="shared" si="2"/>
        <v>62511000</v>
      </c>
      <c r="H20" s="129">
        <f t="shared" si="2"/>
        <v>57000000</v>
      </c>
      <c r="I20" s="129">
        <f t="shared" si="2"/>
        <v>69900000</v>
      </c>
      <c r="J20" s="129">
        <f t="shared" si="2"/>
        <v>57000000</v>
      </c>
      <c r="K20" s="129">
        <f t="shared" si="2"/>
        <v>57000000</v>
      </c>
      <c r="L20" s="129">
        <f t="shared" si="2"/>
        <v>57000000</v>
      </c>
      <c r="M20" s="129">
        <f t="shared" si="2"/>
        <v>57000000</v>
      </c>
      <c r="N20" s="129">
        <f t="shared" si="2"/>
        <v>61159000</v>
      </c>
      <c r="O20" s="246">
        <f t="shared" si="1"/>
        <v>706570000</v>
      </c>
    </row>
    <row r="21" spans="1:15" ht="16.5" thickBot="1">
      <c r="A21" s="244">
        <v>12</v>
      </c>
      <c r="B21" s="240" t="s">
        <v>174</v>
      </c>
      <c r="C21" s="241">
        <f>SUM(C13-C15)</f>
        <v>15863863</v>
      </c>
      <c r="D21" s="241">
        <f>SUM(C21,D13)-D15</f>
        <v>13863863</v>
      </c>
      <c r="E21" s="241">
        <f aca="true" t="shared" si="3" ref="E21:N21">SUM(D21,E13)-E15</f>
        <v>19863863</v>
      </c>
      <c r="F21" s="241">
        <f t="shared" si="3"/>
        <v>17863863</v>
      </c>
      <c r="G21" s="241">
        <f t="shared" si="3"/>
        <v>15863863</v>
      </c>
      <c r="H21" s="241">
        <f t="shared" si="3"/>
        <v>15593863</v>
      </c>
      <c r="I21" s="241">
        <f t="shared" si="3"/>
        <v>13593863</v>
      </c>
      <c r="J21" s="241">
        <f t="shared" si="3"/>
        <v>11593863</v>
      </c>
      <c r="K21" s="241">
        <f t="shared" si="3"/>
        <v>17593863</v>
      </c>
      <c r="L21" s="241">
        <f t="shared" si="3"/>
        <v>15593863</v>
      </c>
      <c r="M21" s="241">
        <f t="shared" si="3"/>
        <v>13593863</v>
      </c>
      <c r="N21" s="241">
        <f t="shared" si="3"/>
        <v>19311000</v>
      </c>
      <c r="O21" s="242"/>
    </row>
  </sheetData>
  <sheetProtection/>
  <mergeCells count="3">
    <mergeCell ref="A3:O3"/>
    <mergeCell ref="A8:B8"/>
    <mergeCell ref="A14:B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23"/>
  <sheetViews>
    <sheetView zoomScalePageLayoutView="0" workbookViewId="0" topLeftCell="A7">
      <selection activeCell="J28" sqref="J28"/>
    </sheetView>
  </sheetViews>
  <sheetFormatPr defaultColWidth="9.140625" defaultRowHeight="12.75"/>
  <cols>
    <col min="1" max="3" width="9.140625" style="22" customWidth="1"/>
    <col min="4" max="4" width="19.00390625" style="22" customWidth="1"/>
    <col min="5" max="5" width="9.140625" style="22" customWidth="1"/>
    <col min="6" max="6" width="11.28125" style="22" bestFit="1" customWidth="1"/>
    <col min="7" max="7" width="11.28125" style="22" customWidth="1"/>
    <col min="8" max="10" width="9.140625" style="22" customWidth="1"/>
    <col min="11" max="11" width="12.7109375" style="22" customWidth="1"/>
    <col min="12" max="16384" width="9.140625" style="22" customWidth="1"/>
  </cols>
  <sheetData>
    <row r="1" spans="6:11" ht="15.75">
      <c r="F1" s="23"/>
      <c r="G1" s="23"/>
      <c r="H1" s="261"/>
      <c r="I1" s="261"/>
      <c r="J1" s="262"/>
      <c r="K1" s="262"/>
    </row>
    <row r="2" spans="6:11" ht="15.75">
      <c r="F2" s="23"/>
      <c r="G2" s="23"/>
      <c r="H2" s="261"/>
      <c r="I2" s="261"/>
      <c r="J2" s="262"/>
      <c r="K2" s="262"/>
    </row>
    <row r="3" spans="1:13" ht="15.75">
      <c r="A3" s="512" t="s">
        <v>175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  <c r="M3" s="513"/>
    </row>
    <row r="4" spans="1:11" ht="15.75">
      <c r="A4" s="459" t="s">
        <v>176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</row>
    <row r="5" spans="1:11" ht="15.75">
      <c r="A5" s="459" t="s">
        <v>321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</row>
    <row r="6" spans="1:11" ht="15.75">
      <c r="A6" s="149"/>
      <c r="B6" s="149"/>
      <c r="C6" s="149"/>
      <c r="D6" s="149"/>
      <c r="E6" s="149"/>
      <c r="F6" s="165"/>
      <c r="G6" s="165"/>
      <c r="H6" s="165"/>
      <c r="I6" s="165"/>
      <c r="J6" s="149"/>
      <c r="K6" s="149"/>
    </row>
    <row r="7" spans="6:13" ht="15.75">
      <c r="F7" s="23"/>
      <c r="G7" s="23"/>
      <c r="H7" s="23"/>
      <c r="I7" s="23"/>
      <c r="K7" s="123" t="s">
        <v>288</v>
      </c>
      <c r="L7" s="58"/>
      <c r="M7" s="58"/>
    </row>
    <row r="8" spans="6:13" ht="16.5" thickBot="1">
      <c r="F8" s="23"/>
      <c r="G8" s="23"/>
      <c r="H8" s="23"/>
      <c r="I8" s="23"/>
      <c r="K8" s="146" t="s">
        <v>284</v>
      </c>
      <c r="L8" s="59"/>
      <c r="M8" s="59"/>
    </row>
    <row r="9" spans="1:13" ht="16.5" thickTop="1">
      <c r="A9" s="514" t="s">
        <v>129</v>
      </c>
      <c r="B9" s="516" t="s">
        <v>177</v>
      </c>
      <c r="C9" s="516"/>
      <c r="D9" s="516"/>
      <c r="E9" s="518" t="s">
        <v>139</v>
      </c>
      <c r="F9" s="516" t="s">
        <v>178</v>
      </c>
      <c r="G9" s="516"/>
      <c r="H9" s="516"/>
      <c r="I9" s="516"/>
      <c r="J9" s="516"/>
      <c r="K9" s="520"/>
      <c r="L9" s="96"/>
      <c r="M9" s="96"/>
    </row>
    <row r="10" spans="1:11" ht="18" customHeight="1">
      <c r="A10" s="515"/>
      <c r="B10" s="517"/>
      <c r="C10" s="517"/>
      <c r="D10" s="517"/>
      <c r="E10" s="519"/>
      <c r="F10" s="517"/>
      <c r="G10" s="517"/>
      <c r="H10" s="517"/>
      <c r="I10" s="517"/>
      <c r="J10" s="517"/>
      <c r="K10" s="521"/>
    </row>
    <row r="11" spans="1:11" ht="15.75">
      <c r="A11" s="530"/>
      <c r="B11" s="528"/>
      <c r="C11" s="528"/>
      <c r="D11" s="528"/>
      <c r="E11" s="528"/>
      <c r="F11" s="522">
        <v>2021</v>
      </c>
      <c r="G11" s="522">
        <v>2022</v>
      </c>
      <c r="H11" s="522">
        <v>2023</v>
      </c>
      <c r="I11" s="522">
        <v>2024</v>
      </c>
      <c r="J11" s="522">
        <v>2025</v>
      </c>
      <c r="K11" s="525" t="s">
        <v>27</v>
      </c>
    </row>
    <row r="12" spans="1:11" ht="15.75">
      <c r="A12" s="530"/>
      <c r="B12" s="528"/>
      <c r="C12" s="528"/>
      <c r="D12" s="528"/>
      <c r="E12" s="528"/>
      <c r="F12" s="523"/>
      <c r="G12" s="523"/>
      <c r="H12" s="523"/>
      <c r="I12" s="523"/>
      <c r="J12" s="523"/>
      <c r="K12" s="526"/>
    </row>
    <row r="13" spans="1:11" ht="15.75">
      <c r="A13" s="530"/>
      <c r="B13" s="528"/>
      <c r="C13" s="528"/>
      <c r="D13" s="528"/>
      <c r="E13" s="528"/>
      <c r="F13" s="524"/>
      <c r="G13" s="524"/>
      <c r="H13" s="524"/>
      <c r="I13" s="524"/>
      <c r="J13" s="524"/>
      <c r="K13" s="527"/>
    </row>
    <row r="14" spans="1:11" ht="15.75">
      <c r="A14" s="249" t="s">
        <v>162</v>
      </c>
      <c r="B14" s="528" t="s">
        <v>163</v>
      </c>
      <c r="C14" s="528"/>
      <c r="D14" s="528"/>
      <c r="E14" s="250" t="s">
        <v>164</v>
      </c>
      <c r="F14" s="251" t="s">
        <v>179</v>
      </c>
      <c r="G14" s="251" t="s">
        <v>180</v>
      </c>
      <c r="H14" s="251" t="s">
        <v>181</v>
      </c>
      <c r="I14" s="251" t="s">
        <v>182</v>
      </c>
      <c r="J14" s="250" t="s">
        <v>183</v>
      </c>
      <c r="K14" s="252" t="s">
        <v>184</v>
      </c>
    </row>
    <row r="15" spans="1:11" ht="15.75">
      <c r="A15" s="253"/>
      <c r="B15" s="529" t="s">
        <v>185</v>
      </c>
      <c r="C15" s="529"/>
      <c r="D15" s="529"/>
      <c r="E15" s="254"/>
      <c r="F15" s="255">
        <v>0</v>
      </c>
      <c r="G15" s="255">
        <v>0</v>
      </c>
      <c r="H15" s="255">
        <v>0</v>
      </c>
      <c r="I15" s="255">
        <v>0</v>
      </c>
      <c r="J15" s="254">
        <v>0</v>
      </c>
      <c r="K15" s="256">
        <v>0</v>
      </c>
    </row>
    <row r="16" spans="1:11" ht="31.5" customHeight="1">
      <c r="A16" s="441"/>
      <c r="B16" s="490"/>
      <c r="C16" s="491"/>
      <c r="D16" s="492"/>
      <c r="E16" s="54"/>
      <c r="F16" s="54"/>
      <c r="G16" s="54"/>
      <c r="H16" s="54"/>
      <c r="I16" s="54"/>
      <c r="J16" s="186"/>
      <c r="K16" s="187"/>
    </row>
    <row r="17" spans="1:11" ht="15.75">
      <c r="A17" s="257"/>
      <c r="B17" s="531"/>
      <c r="C17" s="532"/>
      <c r="D17" s="533"/>
      <c r="E17" s="54"/>
      <c r="F17" s="54"/>
      <c r="G17" s="54"/>
      <c r="H17" s="54"/>
      <c r="I17" s="54"/>
      <c r="J17" s="186"/>
      <c r="K17" s="258"/>
    </row>
    <row r="18" spans="1:11" ht="15.75">
      <c r="A18" s="257"/>
      <c r="B18" s="531"/>
      <c r="C18" s="532"/>
      <c r="D18" s="533"/>
      <c r="E18" s="85"/>
      <c r="F18" s="54"/>
      <c r="G18" s="54"/>
      <c r="H18" s="54"/>
      <c r="I18" s="54"/>
      <c r="J18" s="186"/>
      <c r="K18" s="258"/>
    </row>
    <row r="19" spans="1:11" ht="15.75">
      <c r="A19" s="257"/>
      <c r="B19" s="534" t="s">
        <v>289</v>
      </c>
      <c r="C19" s="534"/>
      <c r="D19" s="534"/>
      <c r="E19" s="186"/>
      <c r="F19" s="54">
        <v>0</v>
      </c>
      <c r="G19" s="54">
        <v>0</v>
      </c>
      <c r="H19" s="54">
        <v>0</v>
      </c>
      <c r="I19" s="54">
        <v>0</v>
      </c>
      <c r="J19" s="186">
        <v>0</v>
      </c>
      <c r="K19" s="258">
        <v>0</v>
      </c>
    </row>
    <row r="20" spans="1:11" ht="39.75" customHeight="1">
      <c r="A20" s="441"/>
      <c r="B20" s="490"/>
      <c r="C20" s="491"/>
      <c r="D20" s="492"/>
      <c r="E20" s="54"/>
      <c r="F20" s="54"/>
      <c r="G20" s="54"/>
      <c r="H20" s="54"/>
      <c r="I20" s="54"/>
      <c r="J20" s="186"/>
      <c r="K20" s="187"/>
    </row>
    <row r="21" spans="1:11" ht="15.75">
      <c r="A21" s="442"/>
      <c r="B21" s="297"/>
      <c r="C21" s="298"/>
      <c r="D21" s="299"/>
      <c r="E21" s="443"/>
      <c r="F21" s="54"/>
      <c r="G21" s="54"/>
      <c r="H21" s="54"/>
      <c r="I21" s="54"/>
      <c r="J21" s="186"/>
      <c r="K21" s="258"/>
    </row>
    <row r="22" spans="1:11" ht="15.75">
      <c r="A22" s="257"/>
      <c r="B22" s="536" t="s">
        <v>27</v>
      </c>
      <c r="C22" s="470"/>
      <c r="D22" s="537"/>
      <c r="E22" s="54"/>
      <c r="F22" s="56">
        <f>SUM(F16:F20)</f>
        <v>0</v>
      </c>
      <c r="G22" s="56">
        <f>SUM(G16:G20)</f>
        <v>0</v>
      </c>
      <c r="H22" s="56"/>
      <c r="I22" s="56"/>
      <c r="J22" s="189"/>
      <c r="K22" s="190">
        <f>SUM(K16:K21)</f>
        <v>0</v>
      </c>
    </row>
    <row r="23" spans="1:11" ht="16.5" thickBot="1">
      <c r="A23" s="259"/>
      <c r="B23" s="535"/>
      <c r="C23" s="535"/>
      <c r="D23" s="535"/>
      <c r="E23" s="202"/>
      <c r="F23" s="203"/>
      <c r="G23" s="203"/>
      <c r="H23" s="203"/>
      <c r="I23" s="203"/>
      <c r="J23" s="202"/>
      <c r="K23" s="260"/>
    </row>
    <row r="24" ht="16.5" thickTop="1"/>
  </sheetData>
  <sheetProtection/>
  <mergeCells count="25">
    <mergeCell ref="B17:D17"/>
    <mergeCell ref="B18:D18"/>
    <mergeCell ref="B19:D19"/>
    <mergeCell ref="B20:D20"/>
    <mergeCell ref="B23:D23"/>
    <mergeCell ref="I11:I13"/>
    <mergeCell ref="H11:H13"/>
    <mergeCell ref="B22:D22"/>
    <mergeCell ref="J11:J13"/>
    <mergeCell ref="K11:K13"/>
    <mergeCell ref="B14:D14"/>
    <mergeCell ref="B15:D15"/>
    <mergeCell ref="B16:D16"/>
    <mergeCell ref="A11:A13"/>
    <mergeCell ref="B11:D13"/>
    <mergeCell ref="E11:E13"/>
    <mergeCell ref="F11:F13"/>
    <mergeCell ref="G11:G13"/>
    <mergeCell ref="A3:M3"/>
    <mergeCell ref="A4:K4"/>
    <mergeCell ref="A9:A10"/>
    <mergeCell ref="B9:D10"/>
    <mergeCell ref="E9:E10"/>
    <mergeCell ref="F9:K10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16"/>
  <sheetViews>
    <sheetView zoomScalePageLayoutView="0" workbookViewId="0" topLeftCell="A1">
      <selection activeCell="O11" sqref="O11"/>
    </sheetView>
  </sheetViews>
  <sheetFormatPr defaultColWidth="9.140625" defaultRowHeight="12.75"/>
  <sheetData>
    <row r="1" spans="11:15" ht="12.75">
      <c r="K1" s="4"/>
      <c r="O1" s="4"/>
    </row>
    <row r="2" spans="1:17" ht="15">
      <c r="A2" s="538" t="s">
        <v>320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Q2" s="294"/>
    </row>
    <row r="3" spans="11:17" ht="12.75">
      <c r="K3" s="4"/>
      <c r="O3" s="4"/>
      <c r="P3" s="294"/>
      <c r="Q3" s="295"/>
    </row>
    <row r="4" spans="11:17" ht="15.75">
      <c r="K4" s="4"/>
      <c r="N4" s="22"/>
      <c r="O4" s="123" t="s">
        <v>290</v>
      </c>
      <c r="P4" s="294"/>
      <c r="Q4" s="295"/>
    </row>
    <row r="5" spans="11:17" ht="16.5" thickBot="1">
      <c r="K5" s="4"/>
      <c r="N5" s="22"/>
      <c r="O5" s="146" t="s">
        <v>284</v>
      </c>
      <c r="P5" s="294"/>
      <c r="Q5" s="294"/>
    </row>
    <row r="6" spans="1:17" ht="13.5" thickTop="1">
      <c r="A6" s="539" t="s">
        <v>186</v>
      </c>
      <c r="B6" s="541" t="s">
        <v>187</v>
      </c>
      <c r="C6" s="544" t="s">
        <v>188</v>
      </c>
      <c r="D6" s="545"/>
      <c r="E6" s="545"/>
      <c r="F6" s="550" t="s">
        <v>189</v>
      </c>
      <c r="G6" s="550"/>
      <c r="H6" s="550"/>
      <c r="I6" s="550" t="s">
        <v>190</v>
      </c>
      <c r="J6" s="550"/>
      <c r="K6" s="550"/>
      <c r="L6" s="550" t="s">
        <v>191</v>
      </c>
      <c r="M6" s="550"/>
      <c r="N6" s="550"/>
      <c r="O6" s="7" t="s">
        <v>18</v>
      </c>
      <c r="Q6" s="294"/>
    </row>
    <row r="7" spans="1:17" ht="12.75">
      <c r="A7" s="540"/>
      <c r="B7" s="542"/>
      <c r="C7" s="546"/>
      <c r="D7" s="547"/>
      <c r="E7" s="547"/>
      <c r="F7" s="547" t="s">
        <v>192</v>
      </c>
      <c r="G7" s="551" t="s">
        <v>193</v>
      </c>
      <c r="H7" s="547" t="s">
        <v>291</v>
      </c>
      <c r="I7" s="547" t="s">
        <v>192</v>
      </c>
      <c r="J7" s="547" t="s">
        <v>193</v>
      </c>
      <c r="K7" s="555" t="s">
        <v>292</v>
      </c>
      <c r="L7" s="547" t="s">
        <v>192</v>
      </c>
      <c r="M7" s="547" t="s">
        <v>193</v>
      </c>
      <c r="N7" s="547" t="s">
        <v>292</v>
      </c>
      <c r="O7" s="559" t="s">
        <v>67</v>
      </c>
      <c r="Q7" s="294"/>
    </row>
    <row r="8" spans="1:17" ht="12.75">
      <c r="A8" s="540"/>
      <c r="B8" s="543"/>
      <c r="C8" s="548"/>
      <c r="D8" s="549"/>
      <c r="E8" s="549"/>
      <c r="F8" s="549"/>
      <c r="G8" s="552"/>
      <c r="H8" s="549"/>
      <c r="I8" s="549"/>
      <c r="J8" s="549"/>
      <c r="K8" s="556"/>
      <c r="L8" s="549"/>
      <c r="M8" s="549"/>
      <c r="N8" s="549"/>
      <c r="O8" s="560"/>
      <c r="Q8" s="294"/>
    </row>
    <row r="9" spans="1:17" ht="12.75">
      <c r="A9" s="8"/>
      <c r="B9" s="9"/>
      <c r="C9" s="553"/>
      <c r="D9" s="554"/>
      <c r="E9" s="554"/>
      <c r="F9" s="5"/>
      <c r="G9" s="5"/>
      <c r="H9" s="5"/>
      <c r="I9" s="5"/>
      <c r="J9" s="10" t="s">
        <v>194</v>
      </c>
      <c r="K9" s="6"/>
      <c r="L9" s="5"/>
      <c r="M9" s="5"/>
      <c r="N9" s="5"/>
      <c r="O9" s="11"/>
      <c r="Q9" s="294"/>
    </row>
    <row r="10" spans="1:17" ht="101.25">
      <c r="A10" s="8">
        <v>1</v>
      </c>
      <c r="B10" s="12" t="s">
        <v>195</v>
      </c>
      <c r="C10" s="561"/>
      <c r="D10" s="562"/>
      <c r="E10" s="563"/>
      <c r="F10" s="5"/>
      <c r="G10" s="5"/>
      <c r="H10" s="5">
        <v>0</v>
      </c>
      <c r="I10" s="5"/>
      <c r="J10" s="13"/>
      <c r="K10" s="5">
        <v>0</v>
      </c>
      <c r="L10" s="5"/>
      <c r="M10" s="5"/>
      <c r="N10" s="5"/>
      <c r="O10" s="5">
        <v>0</v>
      </c>
      <c r="Q10" s="294"/>
    </row>
    <row r="11" spans="1:15" ht="101.25">
      <c r="A11" s="14">
        <v>2</v>
      </c>
      <c r="B11" s="15" t="s">
        <v>196</v>
      </c>
      <c r="C11" s="553"/>
      <c r="D11" s="554"/>
      <c r="E11" s="554"/>
      <c r="F11" s="5"/>
      <c r="G11" s="5"/>
      <c r="H11" s="5">
        <v>0</v>
      </c>
      <c r="I11" s="5"/>
      <c r="J11" s="5"/>
      <c r="K11" s="5">
        <v>0</v>
      </c>
      <c r="L11" s="5"/>
      <c r="M11" s="5"/>
      <c r="N11" s="5"/>
      <c r="O11" s="5">
        <v>0</v>
      </c>
    </row>
    <row r="12" spans="1:15" ht="12.75">
      <c r="A12" s="14"/>
      <c r="B12" s="15"/>
      <c r="C12" s="553"/>
      <c r="D12" s="554"/>
      <c r="E12" s="554"/>
      <c r="F12" s="5"/>
      <c r="G12" s="5"/>
      <c r="H12" s="5">
        <v>0</v>
      </c>
      <c r="I12" s="5"/>
      <c r="J12" s="5"/>
      <c r="K12" s="5">
        <v>0</v>
      </c>
      <c r="L12" s="5"/>
      <c r="M12" s="5"/>
      <c r="N12" s="5"/>
      <c r="O12" s="5">
        <v>0</v>
      </c>
    </row>
    <row r="13" spans="1:15" ht="112.5">
      <c r="A13" s="14">
        <v>3</v>
      </c>
      <c r="B13" s="15" t="s">
        <v>197</v>
      </c>
      <c r="C13" s="553"/>
      <c r="D13" s="554"/>
      <c r="E13" s="554"/>
      <c r="F13" s="5"/>
      <c r="G13" s="5"/>
      <c r="H13" s="5">
        <v>0</v>
      </c>
      <c r="I13" s="5"/>
      <c r="J13" s="5"/>
      <c r="K13" s="5">
        <v>0</v>
      </c>
      <c r="L13" s="5"/>
      <c r="M13" s="5"/>
      <c r="N13" s="5"/>
      <c r="O13" s="5">
        <v>0</v>
      </c>
    </row>
    <row r="14" spans="1:15" ht="78.75">
      <c r="A14" s="14">
        <v>4</v>
      </c>
      <c r="B14" s="15" t="s">
        <v>198</v>
      </c>
      <c r="C14" s="553"/>
      <c r="D14" s="554"/>
      <c r="E14" s="554"/>
      <c r="F14" s="5"/>
      <c r="G14" s="5"/>
      <c r="H14" s="5">
        <v>0</v>
      </c>
      <c r="I14" s="5"/>
      <c r="J14" s="5"/>
      <c r="K14" s="5">
        <v>0</v>
      </c>
      <c r="L14" s="5"/>
      <c r="M14" s="5"/>
      <c r="N14" s="5"/>
      <c r="O14" s="5">
        <v>0</v>
      </c>
    </row>
    <row r="15" spans="1:15" ht="12.75">
      <c r="A15" s="14"/>
      <c r="B15" s="15"/>
      <c r="C15" s="553"/>
      <c r="D15" s="554"/>
      <c r="E15" s="554"/>
      <c r="F15" s="5"/>
      <c r="G15" s="5"/>
      <c r="H15" s="5"/>
      <c r="I15" s="5"/>
      <c r="J15" s="5"/>
      <c r="K15" s="6"/>
      <c r="L15" s="5"/>
      <c r="M15" s="5"/>
      <c r="N15" s="5"/>
      <c r="O15" s="11"/>
    </row>
    <row r="16" spans="1:15" ht="13.5" thickBot="1">
      <c r="A16" s="16"/>
      <c r="B16" s="17" t="s">
        <v>26</v>
      </c>
      <c r="C16" s="557"/>
      <c r="D16" s="558"/>
      <c r="E16" s="558"/>
      <c r="F16" s="18"/>
      <c r="G16" s="18"/>
      <c r="H16" s="18">
        <v>0</v>
      </c>
      <c r="I16" s="18"/>
      <c r="J16" s="18"/>
      <c r="K16" s="19">
        <v>0</v>
      </c>
      <c r="L16" s="18"/>
      <c r="M16" s="18"/>
      <c r="N16" s="18"/>
      <c r="O16" s="20">
        <v>0</v>
      </c>
    </row>
    <row r="17" ht="13.5" thickTop="1"/>
  </sheetData>
  <sheetProtection/>
  <mergeCells count="25">
    <mergeCell ref="C16:E16"/>
    <mergeCell ref="O7:O8"/>
    <mergeCell ref="C9:E9"/>
    <mergeCell ref="C10:E10"/>
    <mergeCell ref="C11:E11"/>
    <mergeCell ref="C12:E12"/>
    <mergeCell ref="C13:E13"/>
    <mergeCell ref="I7:I8"/>
    <mergeCell ref="H7:H8"/>
    <mergeCell ref="C14:E14"/>
    <mergeCell ref="C15:E15"/>
    <mergeCell ref="J7:J8"/>
    <mergeCell ref="K7:K8"/>
    <mergeCell ref="L7:L8"/>
    <mergeCell ref="M7:M8"/>
    <mergeCell ref="N7:N8"/>
    <mergeCell ref="A2:O2"/>
    <mergeCell ref="A6:A8"/>
    <mergeCell ref="B6:B8"/>
    <mergeCell ref="C6:E8"/>
    <mergeCell ref="F6:H6"/>
    <mergeCell ref="I6:K6"/>
    <mergeCell ref="L6:N6"/>
    <mergeCell ref="F7:F8"/>
    <mergeCell ref="G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s.zsuzsa</dc:creator>
  <cp:keywords/>
  <dc:description/>
  <cp:lastModifiedBy>Iktato-01</cp:lastModifiedBy>
  <cp:lastPrinted>2021-02-15T16:20:55Z</cp:lastPrinted>
  <dcterms:created xsi:type="dcterms:W3CDTF">2006-01-11T12:42:52Z</dcterms:created>
  <dcterms:modified xsi:type="dcterms:W3CDTF">2021-02-25T07:08:52Z</dcterms:modified>
  <cp:category/>
  <cp:version/>
  <cp:contentType/>
  <cp:contentStatus/>
</cp:coreProperties>
</file>